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almhsa.sharepoint.com/sites/CalMHSADrive/Shared Documents/_Programs/CalHOPE/CalHOPE Invoicing_2023/_Templates/November 2023 Subs Templates/"/>
    </mc:Choice>
  </mc:AlternateContent>
  <xr:revisionPtr revIDLastSave="2" documentId="13_ncr:1_{E036630D-D932-5240-B5E6-49062221DA50}" xr6:coauthVersionLast="47" xr6:coauthVersionMax="47" xr10:uidLastSave="{2C69FF9E-40BF-409D-BA09-98CEFB4C19D8}"/>
  <bookViews>
    <workbookView xWindow="-108" yWindow="-108" windowWidth="23256" windowHeight="12576" xr2:uid="{EB5194B1-642C-514F-8E57-73CA1EAB6423}"/>
  </bookViews>
  <sheets>
    <sheet name="Expenditure Updated" sheetId="1" r:id="rId1"/>
    <sheet name="November Invoice" sheetId="2" r:id="rId2"/>
    <sheet name="Max Hour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 i="3" l="1"/>
  <c r="M6" i="3" s="1"/>
  <c r="L4" i="3"/>
  <c r="L6" i="3" s="1"/>
  <c r="K4" i="3"/>
  <c r="K5" i="3" s="1"/>
  <c r="J4" i="3"/>
  <c r="J6" i="3" s="1"/>
  <c r="I4" i="3"/>
  <c r="I6" i="3" s="1"/>
  <c r="H4" i="3"/>
  <c r="H6" i="3" s="1"/>
  <c r="G4" i="3"/>
  <c r="G5" i="3" s="1"/>
  <c r="F4" i="3"/>
  <c r="F6" i="3" s="1"/>
  <c r="E4" i="3"/>
  <c r="E5" i="3" s="1"/>
  <c r="D4" i="3"/>
  <c r="D6" i="3" s="1"/>
  <c r="C4" i="3"/>
  <c r="C6" i="3" s="1"/>
  <c r="B4" i="3"/>
  <c r="B6" i="3" s="1"/>
  <c r="J14" i="2"/>
  <c r="D14" i="2"/>
  <c r="J13" i="2"/>
  <c r="D13" i="2"/>
  <c r="C28" i="1"/>
  <c r="C27" i="1"/>
  <c r="C29" i="1" s="1"/>
  <c r="R22" i="1"/>
  <c r="M22" i="1"/>
  <c r="L22" i="1"/>
  <c r="K22" i="1"/>
  <c r="J22" i="1"/>
  <c r="H22" i="1"/>
  <c r="F22" i="1"/>
  <c r="M21" i="1"/>
  <c r="L21" i="1"/>
  <c r="K21" i="1"/>
  <c r="K23" i="1" s="1"/>
  <c r="J21" i="1"/>
  <c r="G21" i="1"/>
  <c r="G23" i="1" s="1"/>
  <c r="F21" i="1"/>
  <c r="E21" i="1"/>
  <c r="E23" i="1" s="1"/>
  <c r="D21" i="1"/>
  <c r="R20" i="1"/>
  <c r="H16" i="1"/>
  <c r="F16" i="1"/>
  <c r="I16" i="1" s="1"/>
  <c r="H15" i="1"/>
  <c r="F15" i="1"/>
  <c r="N14" i="1"/>
  <c r="C14" i="1" s="1"/>
  <c r="O14" i="1" s="1"/>
  <c r="I14" i="1"/>
  <c r="H14" i="1"/>
  <c r="F14" i="1"/>
  <c r="H13" i="1"/>
  <c r="F13" i="1"/>
  <c r="H12" i="1"/>
  <c r="F12" i="1"/>
  <c r="H11" i="1"/>
  <c r="H21" i="1" s="1"/>
  <c r="F11" i="1"/>
  <c r="I11" i="1" s="1"/>
  <c r="N10" i="1"/>
  <c r="I10" i="1"/>
  <c r="F10" i="1"/>
  <c r="N9" i="1"/>
  <c r="C9" i="1"/>
  <c r="M23" i="1" l="1"/>
  <c r="I12" i="1"/>
  <c r="N12" i="1" s="1"/>
  <c r="C12" i="1" s="1"/>
  <c r="O12" i="1" s="1"/>
  <c r="N16" i="1"/>
  <c r="C16" i="1" s="1"/>
  <c r="O16" i="1" s="1"/>
  <c r="F23" i="1"/>
  <c r="J23" i="1"/>
  <c r="H5" i="3"/>
  <c r="C10" i="1"/>
  <c r="O10" i="1" s="1"/>
  <c r="L23" i="1"/>
  <c r="B5" i="3"/>
  <c r="C5" i="3"/>
  <c r="D5" i="3"/>
  <c r="E6" i="3"/>
  <c r="F5" i="3"/>
  <c r="G6" i="3"/>
  <c r="I5" i="3"/>
  <c r="K6" i="3"/>
  <c r="L5" i="3"/>
  <c r="J5" i="3"/>
  <c r="M5" i="3"/>
  <c r="J15" i="2"/>
  <c r="N15" i="1"/>
  <c r="C30" i="1"/>
  <c r="C31" i="1" s="1"/>
  <c r="H23" i="1"/>
  <c r="I22" i="1"/>
  <c r="I15" i="1"/>
  <c r="N11" i="1"/>
  <c r="C11" i="1" s="1"/>
  <c r="O11" i="1" s="1"/>
  <c r="O9" i="1"/>
  <c r="I13" i="1"/>
  <c r="J20" i="2" l="1"/>
  <c r="J22" i="2" s="1"/>
  <c r="N22" i="1"/>
  <c r="C22" i="1"/>
  <c r="I21" i="1"/>
  <c r="I23" i="1" s="1"/>
  <c r="C15" i="1"/>
  <c r="O15" i="1" s="1"/>
  <c r="N13" i="1"/>
  <c r="N21" i="1" l="1"/>
  <c r="N23" i="1" s="1"/>
  <c r="C13" i="1"/>
  <c r="O13" i="1" l="1"/>
  <c r="O21" i="1" s="1"/>
  <c r="C21" i="1"/>
  <c r="C23" i="1" s="1"/>
</calcChain>
</file>

<file path=xl/sharedStrings.xml><?xml version="1.0" encoding="utf-8"?>
<sst xmlns="http://schemas.openxmlformats.org/spreadsheetml/2006/main" count="122" uniqueCount="117">
  <si>
    <t xml:space="preserve">Contract: </t>
  </si>
  <si>
    <t>CalHope</t>
  </si>
  <si>
    <t>Period:</t>
  </si>
  <si>
    <t>01/16/2023 - 12/31/2023</t>
  </si>
  <si>
    <t>Total Funding:</t>
  </si>
  <si>
    <t>2022/23</t>
  </si>
  <si>
    <t>Invoice Number:</t>
  </si>
  <si>
    <t>Invoice Amounts:</t>
  </si>
  <si>
    <t>Deliverables</t>
  </si>
  <si>
    <t>Hours</t>
  </si>
  <si>
    <t xml:space="preserve"> Supervisors  (1) $30.00 per Hour</t>
  </si>
  <si>
    <t xml:space="preserve"> Support Specialist (4) $26.00 per Hour</t>
  </si>
  <si>
    <t>Benefits @ 20%</t>
  </si>
  <si>
    <t>Additional Administrative Costs 1x17800</t>
  </si>
  <si>
    <t>Devices (5)</t>
  </si>
  <si>
    <t>Quality Improvement Training 1x 5000</t>
  </si>
  <si>
    <t>Other CalMHSA Reasonable Request 1x3000</t>
  </si>
  <si>
    <t>15% of Salary + Benefits + Additional Costs</t>
  </si>
  <si>
    <t>Amount Paid</t>
  </si>
  <si>
    <t>Deliverable #1</t>
  </si>
  <si>
    <t>Additional Administrative Costs</t>
  </si>
  <si>
    <t>Invoice</t>
  </si>
  <si>
    <t>January 16-31,  2023</t>
  </si>
  <si>
    <t>January 16-31, 2023</t>
  </si>
  <si>
    <t>February 2023</t>
  </si>
  <si>
    <t>March 2023</t>
  </si>
  <si>
    <t>April 2023</t>
  </si>
  <si>
    <t>May 2023</t>
  </si>
  <si>
    <t>June 2023</t>
  </si>
  <si>
    <t>July 2023</t>
  </si>
  <si>
    <t>August 2023</t>
  </si>
  <si>
    <t>Invoice total</t>
  </si>
  <si>
    <t>Total Alocated</t>
  </si>
  <si>
    <t>Funding</t>
  </si>
  <si>
    <t>Balance</t>
  </si>
  <si>
    <t>(month)  submitted</t>
  </si>
  <si>
    <t>1 FTE*30*168</t>
  </si>
  <si>
    <t>Deliverable Number</t>
  </si>
  <si>
    <t>Deliverable Name</t>
  </si>
  <si>
    <t>Deliverable Items</t>
  </si>
  <si>
    <t>Amount</t>
  </si>
  <si>
    <t>Date</t>
  </si>
  <si>
    <t>4 FTEx26x168</t>
  </si>
  <si>
    <t>Implementation Plan and Agency Information</t>
  </si>
  <si>
    <t>Training Plan</t>
  </si>
  <si>
    <t>"March 8, 2023</t>
  </si>
  <si>
    <t>Total</t>
  </si>
  <si>
    <t>Crisis Protocol</t>
  </si>
  <si>
    <t>Total x 20%</t>
  </si>
  <si>
    <t>Agency and Contact Information</t>
  </si>
  <si>
    <t>Delivarable Totals</t>
  </si>
  <si>
    <t>Implementation Plan</t>
  </si>
  <si>
    <r>
      <t xml:space="preserve">(Insert Provider Name) </t>
    </r>
    <r>
      <rPr>
        <b/>
        <sz val="16"/>
        <color rgb="FFFFFFFF"/>
        <rFont val="Calibri"/>
        <family val="2"/>
        <scheme val="minor"/>
      </rPr>
      <t>- CalHOPE NOVEMBER 2023 INVOICE</t>
    </r>
  </si>
  <si>
    <t>Remittance Address:</t>
  </si>
  <si>
    <t>City:</t>
  </si>
  <si>
    <t>ZIP:</t>
  </si>
  <si>
    <t>Phone:</t>
  </si>
  <si>
    <t>(      )         -</t>
  </si>
  <si>
    <t>Email:</t>
  </si>
  <si>
    <t>Fax:</t>
  </si>
  <si>
    <t>(      )       -</t>
  </si>
  <si>
    <t>Program:</t>
  </si>
  <si>
    <t>CalHOPE Support Program</t>
  </si>
  <si>
    <t>Contract No.:</t>
  </si>
  <si>
    <t>Date:</t>
  </si>
  <si>
    <t>Service Period:</t>
  </si>
  <si>
    <t>to</t>
  </si>
  <si>
    <t>Number of Pods Awarded</t>
  </si>
  <si>
    <t>Number of Pods Hired</t>
  </si>
  <si>
    <t>Item</t>
  </si>
  <si>
    <t>Description</t>
  </si>
  <si>
    <t>Total FTEs</t>
  </si>
  <si>
    <t>No. of Hours</t>
  </si>
  <si>
    <t>Rate</t>
  </si>
  <si>
    <t>Subtotal</t>
  </si>
  <si>
    <t xml:space="preserve">Staffing </t>
  </si>
  <si>
    <t>Supervisor</t>
  </si>
  <si>
    <t>Support Specialist</t>
  </si>
  <si>
    <t>Benefits, 20%</t>
  </si>
  <si>
    <t>20% of Staff FTE</t>
  </si>
  <si>
    <t>Rate per Pod per Year</t>
  </si>
  <si>
    <t>Monthly Spending</t>
  </si>
  <si>
    <t>Devices*</t>
  </si>
  <si>
    <r>
      <t>Quality Improvement Training</t>
    </r>
    <r>
      <rPr>
        <sz val="12"/>
        <color rgb="FF000000"/>
        <rFont val="Calibri"/>
        <family val="2"/>
        <scheme val="minor"/>
      </rPr>
      <t xml:space="preserve"> </t>
    </r>
  </si>
  <si>
    <t>See Instructions for additional reporting required.</t>
  </si>
  <si>
    <t>Other CalMHSA Reasonable Request</t>
  </si>
  <si>
    <t>Billable only with pre-approval by CalMHSA.</t>
  </si>
  <si>
    <t xml:space="preserve">Deliverable One Amount </t>
  </si>
  <si>
    <t>***</t>
  </si>
  <si>
    <t>Indirect Cost, 15%</t>
  </si>
  <si>
    <t xml:space="preserve">*See the number of devices funded in your contract. Numbers were taken from survey results. Enter total spent on devices for the month in the subtotal section. </t>
  </si>
  <si>
    <t xml:space="preserve">**Monthly spending is for informational purposes and to facilitate your agencies tracking of the AAC expenditures. </t>
  </si>
  <si>
    <t xml:space="preserve">Please submit receipts for any purchases over $75.00 </t>
  </si>
  <si>
    <t>January</t>
  </si>
  <si>
    <t>February</t>
  </si>
  <si>
    <t>March</t>
  </si>
  <si>
    <t>April</t>
  </si>
  <si>
    <t>May</t>
  </si>
  <si>
    <t>June</t>
  </si>
  <si>
    <t>July</t>
  </si>
  <si>
    <t>August</t>
  </si>
  <si>
    <t>September</t>
  </si>
  <si>
    <t>October</t>
  </si>
  <si>
    <t>November</t>
  </si>
  <si>
    <t>December</t>
  </si>
  <si>
    <t>Number of Pods</t>
  </si>
  <si>
    <t>Hours per 1 FTE per Month</t>
  </si>
  <si>
    <t>Supervisor FTE</t>
  </si>
  <si>
    <t>Support Specialist FTE</t>
  </si>
  <si>
    <t xml:space="preserve">CalMHSA </t>
  </si>
  <si>
    <t>Total Paid to Date_9/19/23</t>
  </si>
  <si>
    <t>Balance as of 9/19/23</t>
  </si>
  <si>
    <t>CalMHSA</t>
  </si>
  <si>
    <t>Sacramento</t>
  </si>
  <si>
    <t xml:space="preserve">State: </t>
  </si>
  <si>
    <t>CA</t>
  </si>
  <si>
    <t xml:space="preserve">***The amount your agency received for deliverable #1 will be subtracted from the November invoice. Deliverable #1 was an advance provided to help agencies with early cash flow, the amount is equal to your December payment, assuming you are fully staffed. If the November invoice does not cover the full deliverable #1 amount, the remainder will be deducted from the December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</si>
</sst>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18"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sz val="10"/>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theme="1"/>
      <name val="Calibri"/>
      <family val="2"/>
      <scheme val="minor"/>
    </font>
    <font>
      <sz val="11"/>
      <name val="Calibri"/>
      <family val="2"/>
      <scheme val="minor"/>
    </font>
    <font>
      <sz val="11"/>
      <color rgb="FFFF0000"/>
      <name val="Calibri"/>
      <family val="2"/>
      <scheme val="minor"/>
    </font>
    <font>
      <sz val="11"/>
      <name val="Calibri"/>
      <family val="2"/>
    </font>
    <font>
      <b/>
      <i/>
      <sz val="16"/>
      <color rgb="FFFFFFFF"/>
      <name val="Calibri"/>
      <family val="2"/>
      <scheme val="minor"/>
    </font>
    <font>
      <b/>
      <sz val="16"/>
      <color rgb="FFFFFFFF"/>
      <name val="Calibri"/>
      <family val="2"/>
      <scheme val="minor"/>
    </font>
    <font>
      <b/>
      <sz val="11"/>
      <color rgb="FF000000"/>
      <name val="Calibri"/>
      <family val="2"/>
      <scheme val="minor"/>
    </font>
    <font>
      <sz val="11"/>
      <color rgb="FF000000"/>
      <name val="Calibri"/>
      <family val="2"/>
      <scheme val="minor"/>
    </font>
    <font>
      <sz val="12"/>
      <color rgb="FF000000"/>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E2EFDA"/>
        <bgColor indexed="64"/>
      </patternFill>
    </fill>
    <fill>
      <patternFill patternType="solid">
        <fgColor rgb="FFFFFF00"/>
        <bgColor indexed="64"/>
      </patternFill>
    </fill>
    <fill>
      <patternFill patternType="solid">
        <fgColor theme="8" tint="0.59999389629810485"/>
        <bgColor indexed="64"/>
      </patternFill>
    </fill>
    <fill>
      <patternFill patternType="solid">
        <fgColor rgb="FF305496"/>
        <bgColor rgb="FF000000"/>
      </patternFill>
    </fill>
    <fill>
      <patternFill patternType="solid">
        <fgColor rgb="FFB4C6E7"/>
        <bgColor rgb="FF000000"/>
      </patternFill>
    </fill>
    <fill>
      <patternFill patternType="solid">
        <fgColor rgb="FFE7E6E6"/>
        <bgColor rgb="FF000000"/>
      </patternFill>
    </fill>
    <fill>
      <patternFill patternType="solid">
        <fgColor rgb="FFFFFF00"/>
        <bgColor rgb="FF000000"/>
      </patternFill>
    </fill>
    <fill>
      <patternFill patternType="solid">
        <fgColor rgb="FFFFC00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rgb="FF000000"/>
      </right>
      <top style="thin">
        <color indexed="64"/>
      </top>
      <bottom/>
      <diagonal/>
    </border>
    <border>
      <left/>
      <right/>
      <top/>
      <bottom style="thin">
        <color rgb="FF000000"/>
      </bottom>
      <diagonal/>
    </border>
    <border>
      <left/>
      <right style="thin">
        <color rgb="FF000000"/>
      </right>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rgb="FF000000"/>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0" fillId="0" borderId="0" xfId="0"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right"/>
    </xf>
    <xf numFmtId="0" fontId="6" fillId="0" borderId="0" xfId="0" applyFont="1"/>
    <xf numFmtId="8" fontId="6" fillId="0" borderId="0" xfId="0" applyNumberFormat="1" applyFont="1" applyAlignment="1">
      <alignment horizontal="left"/>
    </xf>
    <xf numFmtId="8" fontId="6" fillId="0" borderId="0" xfId="0" applyNumberFormat="1" applyFont="1" applyAlignment="1">
      <alignment horizontal="center"/>
    </xf>
    <xf numFmtId="44" fontId="6" fillId="0" borderId="0" xfId="2" applyFont="1"/>
    <xf numFmtId="0" fontId="6" fillId="0" borderId="0" xfId="2" applyNumberFormat="1" applyFont="1" applyFill="1" applyBorder="1" applyAlignment="1">
      <alignment horizontal="center"/>
    </xf>
    <xf numFmtId="0" fontId="0" fillId="0" borderId="0" xfId="0" applyAlignment="1">
      <alignment vertical="top" wrapText="1"/>
    </xf>
    <xf numFmtId="0" fontId="2" fillId="0" borderId="0" xfId="0" applyFont="1" applyAlignment="1">
      <alignment horizontal="left" vertical="center"/>
    </xf>
    <xf numFmtId="0" fontId="7" fillId="0" borderId="0" xfId="0" applyFont="1" applyAlignment="1">
      <alignment vertical="center" wrapText="1"/>
    </xf>
    <xf numFmtId="44" fontId="6" fillId="2" borderId="1" xfId="2" applyFont="1" applyFill="1" applyBorder="1" applyAlignment="1">
      <alignment horizontal="center" wrapText="1"/>
    </xf>
    <xf numFmtId="44" fontId="6" fillId="2" borderId="2" xfId="2" applyFont="1" applyFill="1" applyBorder="1" applyAlignment="1">
      <alignment horizontal="center" wrapText="1"/>
    </xf>
    <xf numFmtId="0" fontId="6" fillId="0" borderId="1" xfId="0" applyFont="1" applyBorder="1" applyAlignment="1">
      <alignment wrapText="1"/>
    </xf>
    <xf numFmtId="0" fontId="6" fillId="0" borderId="2" xfId="0" applyFont="1" applyBorder="1" applyAlignment="1">
      <alignment wrapText="1"/>
    </xf>
    <xf numFmtId="0" fontId="0" fillId="3" borderId="3" xfId="0" applyFill="1" applyBorder="1" applyAlignment="1">
      <alignment horizontal="center" vertical="center"/>
    </xf>
    <xf numFmtId="0" fontId="0" fillId="0" borderId="0" xfId="0" applyAlignment="1">
      <alignment horizontal="center" vertical="center"/>
    </xf>
    <xf numFmtId="0" fontId="0" fillId="0" borderId="0" xfId="0" quotePrefix="1" applyAlignment="1">
      <alignment horizontal="right"/>
    </xf>
    <xf numFmtId="49" fontId="0" fillId="0" borderId="4" xfId="2" applyNumberFormat="1" applyFont="1" applyBorder="1" applyAlignment="1">
      <alignment horizontal="center"/>
    </xf>
    <xf numFmtId="43" fontId="0" fillId="0" borderId="5" xfId="1" applyFont="1" applyBorder="1"/>
    <xf numFmtId="0" fontId="0" fillId="0" borderId="5" xfId="2" applyNumberFormat="1" applyFont="1" applyBorder="1"/>
    <xf numFmtId="44" fontId="0" fillId="0" borderId="5" xfId="2" applyFont="1" applyBorder="1"/>
    <xf numFmtId="43" fontId="0" fillId="0" borderId="2" xfId="1" applyFont="1" applyBorder="1"/>
    <xf numFmtId="44" fontId="0" fillId="0" borderId="2" xfId="2" applyFont="1" applyBorder="1"/>
    <xf numFmtId="44" fontId="0" fillId="0" borderId="3" xfId="0" quotePrefix="1" applyNumberFormat="1" applyBorder="1"/>
    <xf numFmtId="44" fontId="0" fillId="0" borderId="0" xfId="0" quotePrefix="1" applyNumberFormat="1"/>
    <xf numFmtId="0" fontId="6" fillId="0" borderId="2" xfId="0" applyFont="1" applyBorder="1" applyAlignment="1">
      <alignment horizontal="center"/>
    </xf>
    <xf numFmtId="49" fontId="0" fillId="0" borderId="4" xfId="2" quotePrefix="1" applyNumberFormat="1" applyFont="1" applyFill="1" applyBorder="1" applyAlignment="1">
      <alignment horizontal="center"/>
    </xf>
    <xf numFmtId="43" fontId="0" fillId="0" borderId="5" xfId="1" applyFont="1" applyFill="1" applyBorder="1"/>
    <xf numFmtId="0" fontId="0" fillId="0" borderId="2" xfId="2" applyNumberFormat="1" applyFont="1" applyFill="1" applyBorder="1"/>
    <xf numFmtId="44" fontId="0" fillId="0" borderId="5" xfId="2" applyFont="1" applyFill="1" applyBorder="1"/>
    <xf numFmtId="44" fontId="0" fillId="0" borderId="2" xfId="2" applyFont="1" applyFill="1" applyBorder="1"/>
    <xf numFmtId="49" fontId="0" fillId="0" borderId="2" xfId="2" applyNumberFormat="1" applyFont="1" applyBorder="1" applyAlignment="1">
      <alignment horizontal="center"/>
    </xf>
    <xf numFmtId="37" fontId="0" fillId="0" borderId="4" xfId="2" quotePrefix="1" applyNumberFormat="1" applyFont="1" applyFill="1" applyBorder="1" applyAlignment="1">
      <alignment horizontal="center"/>
    </xf>
    <xf numFmtId="44" fontId="9" fillId="0" borderId="2" xfId="2" applyFont="1" applyFill="1" applyBorder="1"/>
    <xf numFmtId="0" fontId="0" fillId="0" borderId="2" xfId="0" applyBorder="1"/>
    <xf numFmtId="49" fontId="0" fillId="0" borderId="4" xfId="2" quotePrefix="1" applyNumberFormat="1" applyFont="1" applyBorder="1" applyAlignment="1">
      <alignment horizontal="center"/>
    </xf>
    <xf numFmtId="0" fontId="0" fillId="0" borderId="2" xfId="2" applyNumberFormat="1" applyFont="1" applyBorder="1"/>
    <xf numFmtId="0" fontId="0" fillId="0" borderId="0" xfId="0" applyAlignment="1">
      <alignment horizontal="left" wrapText="1"/>
    </xf>
    <xf numFmtId="37" fontId="0" fillId="0" borderId="2" xfId="2" quotePrefix="1" applyNumberFormat="1" applyFont="1" applyFill="1" applyBorder="1" applyAlignment="1">
      <alignment horizontal="center"/>
    </xf>
    <xf numFmtId="37" fontId="0" fillId="0" borderId="2" xfId="2" quotePrefix="1" applyNumberFormat="1" applyFont="1" applyBorder="1" applyAlignment="1">
      <alignment horizontal="center"/>
    </xf>
    <xf numFmtId="0" fontId="0" fillId="0" borderId="2" xfId="0" quotePrefix="1" applyBorder="1" applyAlignment="1">
      <alignment horizontal="center"/>
    </xf>
    <xf numFmtId="44" fontId="0" fillId="0" borderId="0" xfId="2" applyFont="1" applyBorder="1"/>
    <xf numFmtId="0" fontId="0" fillId="0" borderId="6" xfId="2" applyNumberFormat="1" applyFont="1" applyFill="1" applyBorder="1"/>
    <xf numFmtId="37" fontId="0" fillId="0" borderId="2" xfId="2" applyNumberFormat="1" applyFont="1" applyBorder="1" applyAlignment="1">
      <alignment horizontal="center"/>
    </xf>
    <xf numFmtId="44" fontId="0" fillId="0" borderId="1" xfId="2" applyFont="1" applyBorder="1" applyAlignment="1">
      <alignment horizontal="center"/>
    </xf>
    <xf numFmtId="0" fontId="0" fillId="0" borderId="2" xfId="0" applyBorder="1" applyAlignment="1">
      <alignment horizontal="center"/>
    </xf>
    <xf numFmtId="44" fontId="0" fillId="0" borderId="7" xfId="0" quotePrefix="1" applyNumberFormat="1" applyBorder="1"/>
    <xf numFmtId="43" fontId="0" fillId="0" borderId="0" xfId="0" applyNumberFormat="1"/>
    <xf numFmtId="16" fontId="0" fillId="0" borderId="0" xfId="0" applyNumberFormat="1"/>
    <xf numFmtId="44" fontId="6" fillId="4" borderId="8" xfId="2" applyFont="1" applyFill="1" applyBorder="1" applyAlignment="1">
      <alignment horizontal="center"/>
    </xf>
    <xf numFmtId="44" fontId="6" fillId="4" borderId="2" xfId="2" applyFont="1" applyFill="1" applyBorder="1"/>
    <xf numFmtId="44" fontId="6" fillId="0" borderId="0" xfId="2" applyFont="1" applyFill="1" applyBorder="1"/>
    <xf numFmtId="43" fontId="0" fillId="0" borderId="0" xfId="1" applyFont="1"/>
    <xf numFmtId="16" fontId="0" fillId="0" borderId="9" xfId="0" applyNumberFormat="1" applyBorder="1" applyAlignment="1">
      <alignment horizontal="center"/>
    </xf>
    <xf numFmtId="8" fontId="0" fillId="0" borderId="9" xfId="2" applyNumberFormat="1" applyFont="1" applyFill="1" applyBorder="1"/>
    <xf numFmtId="0" fontId="0" fillId="0" borderId="9" xfId="2" applyNumberFormat="1" applyFont="1" applyBorder="1"/>
    <xf numFmtId="8" fontId="0" fillId="0" borderId="9" xfId="2" applyNumberFormat="1" applyFont="1" applyBorder="1"/>
    <xf numFmtId="43" fontId="0" fillId="0" borderId="9" xfId="1" applyFont="1" applyBorder="1"/>
    <xf numFmtId="44" fontId="10" fillId="0" borderId="9" xfId="0" applyNumberFormat="1" applyFont="1" applyBorder="1"/>
    <xf numFmtId="44" fontId="10" fillId="0" borderId="0" xfId="0" applyNumberFormat="1" applyFont="1"/>
    <xf numFmtId="16" fontId="0" fillId="5" borderId="10" xfId="0" applyNumberFormat="1" applyFill="1" applyBorder="1" applyAlignment="1">
      <alignment horizontal="center"/>
    </xf>
    <xf numFmtId="44" fontId="10" fillId="5" borderId="10" xfId="2" applyFont="1" applyFill="1" applyBorder="1"/>
    <xf numFmtId="0" fontId="10" fillId="5" borderId="10" xfId="2" applyNumberFormat="1" applyFont="1" applyFill="1" applyBorder="1"/>
    <xf numFmtId="44" fontId="11" fillId="5" borderId="10" xfId="2" applyFont="1" applyFill="1" applyBorder="1"/>
    <xf numFmtId="44" fontId="10" fillId="0" borderId="0" xfId="2" applyFont="1" applyFill="1" applyBorder="1"/>
    <xf numFmtId="44" fontId="0" fillId="0" borderId="0" xfId="2" applyFont="1" applyBorder="1" applyAlignment="1">
      <alignment horizontal="center"/>
    </xf>
    <xf numFmtId="0" fontId="0" fillId="0" borderId="0" xfId="2" applyNumberFormat="1" applyFont="1" applyBorder="1"/>
    <xf numFmtId="0" fontId="12" fillId="0" borderId="0" xfId="0" applyFont="1" applyAlignment="1">
      <alignment horizontal="left" vertical="top" wrapText="1" indent="4"/>
    </xf>
    <xf numFmtId="44" fontId="0" fillId="0" borderId="0" xfId="2" applyFont="1" applyFill="1" applyBorder="1"/>
    <xf numFmtId="0" fontId="0" fillId="0" borderId="0" xfId="2" applyNumberFormat="1" applyFont="1" applyFill="1" applyBorder="1"/>
    <xf numFmtId="0" fontId="0" fillId="0" borderId="0" xfId="0" applyAlignment="1">
      <alignment horizontal="left" vertical="center" wrapText="1" indent="4"/>
    </xf>
    <xf numFmtId="43" fontId="0" fillId="0" borderId="0" xfId="1" applyFont="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0" xfId="0" applyAlignment="1">
      <alignment horizontal="left" vertical="center"/>
    </xf>
    <xf numFmtId="43" fontId="9" fillId="0" borderId="13" xfId="1" applyFont="1" applyBorder="1" applyAlignment="1">
      <alignment horizontal="center" vertical="center"/>
    </xf>
    <xf numFmtId="43" fontId="9" fillId="0" borderId="0" xfId="1" applyFont="1" applyBorder="1" applyAlignment="1">
      <alignment horizontal="center" vertical="center"/>
    </xf>
    <xf numFmtId="0" fontId="8" fillId="0" borderId="15" xfId="0" applyFont="1" applyBorder="1" applyAlignment="1">
      <alignment horizontal="left" vertical="center" wrapText="1" indent="1"/>
    </xf>
    <xf numFmtId="0" fontId="0" fillId="0" borderId="14" xfId="0" applyBorder="1"/>
    <xf numFmtId="0" fontId="1" fillId="0" borderId="0" xfId="0" applyFont="1" applyAlignment="1">
      <alignment horizontal="center" vertical="center"/>
    </xf>
    <xf numFmtId="43" fontId="0" fillId="0" borderId="0" xfId="0" applyNumberFormat="1" applyAlignment="1">
      <alignment horizontal="center" vertical="center"/>
    </xf>
    <xf numFmtId="0" fontId="0" fillId="0" borderId="16" xfId="0" applyBorder="1"/>
    <xf numFmtId="43" fontId="9" fillId="0" borderId="17" xfId="1" applyFont="1" applyBorder="1" applyAlignment="1">
      <alignment horizontal="center" vertical="center"/>
    </xf>
    <xf numFmtId="0" fontId="8" fillId="0" borderId="19" xfId="0" applyFont="1" applyBorder="1" applyAlignment="1">
      <alignment horizontal="left" vertical="center" wrapText="1" indent="1"/>
    </xf>
    <xf numFmtId="0" fontId="0" fillId="0" borderId="18" xfId="0" applyBorder="1"/>
    <xf numFmtId="0" fontId="15" fillId="0" borderId="0" xfId="0" applyFont="1" applyAlignment="1">
      <alignment wrapText="1"/>
    </xf>
    <xf numFmtId="0" fontId="15" fillId="0" borderId="2" xfId="0" applyFont="1" applyBorder="1" applyAlignment="1">
      <alignment horizontal="left" wrapText="1"/>
    </xf>
    <xf numFmtId="0" fontId="15" fillId="0" borderId="22" xfId="0" applyFont="1" applyBorder="1" applyAlignment="1">
      <alignment horizontal="left" wrapText="1"/>
    </xf>
    <xf numFmtId="0" fontId="16" fillId="0" borderId="22" xfId="0" applyFont="1" applyBorder="1" applyAlignment="1">
      <alignment horizontal="left" wrapText="1"/>
    </xf>
    <xf numFmtId="0" fontId="15" fillId="0" borderId="8" xfId="0" applyFont="1" applyBorder="1" applyAlignment="1">
      <alignment horizontal="left" wrapText="1"/>
    </xf>
    <xf numFmtId="0" fontId="17" fillId="0" borderId="8" xfId="0" applyFont="1" applyBorder="1" applyAlignment="1">
      <alignment wrapText="1"/>
    </xf>
    <xf numFmtId="0" fontId="17" fillId="0" borderId="0" xfId="0" applyFont="1"/>
    <xf numFmtId="0" fontId="17" fillId="0" borderId="24" xfId="0" applyFont="1" applyBorder="1" applyAlignment="1">
      <alignment wrapText="1"/>
    </xf>
    <xf numFmtId="0" fontId="15" fillId="0" borderId="25" xfId="0" applyFont="1" applyBorder="1" applyAlignment="1">
      <alignment horizontal="center"/>
    </xf>
    <xf numFmtId="0" fontId="17" fillId="0" borderId="26" xfId="0" applyFont="1" applyBorder="1" applyAlignment="1">
      <alignment wrapText="1"/>
    </xf>
    <xf numFmtId="0" fontId="17" fillId="0" borderId="2" xfId="0" applyFont="1" applyBorder="1" applyAlignment="1">
      <alignment wrapText="1"/>
    </xf>
    <xf numFmtId="0" fontId="15" fillId="7" borderId="31" xfId="0" applyFont="1" applyFill="1" applyBorder="1" applyAlignment="1">
      <alignment wrapText="1"/>
    </xf>
    <xf numFmtId="0" fontId="15" fillId="7" borderId="19" xfId="0" applyFont="1" applyFill="1" applyBorder="1"/>
    <xf numFmtId="164" fontId="17" fillId="0" borderId="22" xfId="0" applyNumberFormat="1" applyFont="1" applyBorder="1"/>
    <xf numFmtId="0" fontId="17" fillId="0" borderId="41" xfId="0" applyFont="1" applyBorder="1" applyAlignment="1">
      <alignment wrapText="1"/>
    </xf>
    <xf numFmtId="164" fontId="17" fillId="0" borderId="35" xfId="0" applyNumberFormat="1" applyFont="1" applyBorder="1"/>
    <xf numFmtId="0" fontId="15" fillId="7" borderId="34" xfId="0" applyFont="1" applyFill="1" applyBorder="1" applyAlignment="1">
      <alignment wrapText="1"/>
    </xf>
    <xf numFmtId="0" fontId="15" fillId="7" borderId="26" xfId="0" applyFont="1" applyFill="1" applyBorder="1"/>
    <xf numFmtId="0" fontId="15" fillId="0" borderId="20" xfId="0" applyFont="1" applyBorder="1" applyAlignment="1">
      <alignment wrapText="1"/>
    </xf>
    <xf numFmtId="164" fontId="17" fillId="0" borderId="5" xfId="0" applyNumberFormat="1" applyFont="1" applyBorder="1"/>
    <xf numFmtId="0" fontId="15" fillId="0" borderId="24" xfId="0" applyFont="1" applyBorder="1" applyAlignment="1">
      <alignment wrapText="1"/>
    </xf>
    <xf numFmtId="0" fontId="15" fillId="0" borderId="8" xfId="0" applyFont="1" applyBorder="1" applyAlignment="1">
      <alignment wrapText="1"/>
    </xf>
    <xf numFmtId="0" fontId="17" fillId="0" borderId="34" xfId="0" applyFont="1" applyBorder="1" applyAlignment="1">
      <alignment wrapText="1"/>
    </xf>
    <xf numFmtId="164" fontId="17" fillId="0" borderId="51" xfId="0" applyNumberFormat="1" applyFont="1" applyBorder="1"/>
    <xf numFmtId="0" fontId="0" fillId="0" borderId="53" xfId="0" applyBorder="1"/>
    <xf numFmtId="0" fontId="6" fillId="0" borderId="53" xfId="0" applyFont="1" applyBorder="1"/>
    <xf numFmtId="14" fontId="15" fillId="0" borderId="8" xfId="0" applyNumberFormat="1" applyFont="1" applyBorder="1" applyAlignment="1">
      <alignment horizontal="left"/>
    </xf>
    <xf numFmtId="15" fontId="8" fillId="0" borderId="0" xfId="0" applyNumberFormat="1" applyFont="1" applyAlignment="1">
      <alignment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8" fontId="8" fillId="0" borderId="14" xfId="0" applyNumberFormat="1" applyFont="1" applyBorder="1" applyAlignment="1">
      <alignment vertical="center" wrapText="1"/>
    </xf>
    <xf numFmtId="8" fontId="8" fillId="0" borderId="16" xfId="0" applyNumberFormat="1" applyFont="1" applyBorder="1" applyAlignment="1">
      <alignment vertical="center" wrapText="1"/>
    </xf>
    <xf numFmtId="8" fontId="8" fillId="0" borderId="18" xfId="0" applyNumberFormat="1" applyFont="1" applyBorder="1" applyAlignment="1">
      <alignment vertical="center" wrapText="1"/>
    </xf>
    <xf numFmtId="0" fontId="17" fillId="0" borderId="52" xfId="0" applyFont="1" applyBorder="1" applyAlignment="1">
      <alignment horizontal="left" vertical="center" wrapText="1"/>
    </xf>
    <xf numFmtId="0" fontId="17" fillId="0" borderId="53" xfId="0" applyFont="1" applyBorder="1" applyAlignment="1">
      <alignment horizontal="left" wrapText="1"/>
    </xf>
    <xf numFmtId="0" fontId="17" fillId="9" borderId="50" xfId="0" applyFont="1" applyFill="1" applyBorder="1" applyAlignment="1">
      <alignment horizontal="center" wrapText="1"/>
    </xf>
    <xf numFmtId="0" fontId="17" fillId="9" borderId="44" xfId="0" applyFont="1" applyFill="1" applyBorder="1" applyAlignment="1">
      <alignment horizontal="center" wrapText="1"/>
    </xf>
    <xf numFmtId="0" fontId="17" fillId="9" borderId="54" xfId="0" applyFont="1" applyFill="1" applyBorder="1" applyAlignment="1">
      <alignment horizontal="center" wrapText="1"/>
    </xf>
    <xf numFmtId="0" fontId="17" fillId="0" borderId="20" xfId="0" applyFont="1" applyBorder="1" applyAlignment="1">
      <alignment horizontal="center"/>
    </xf>
    <xf numFmtId="0" fontId="17" fillId="0" borderId="9" xfId="0" applyFont="1" applyBorder="1" applyAlignment="1">
      <alignment horizontal="center"/>
    </xf>
    <xf numFmtId="0" fontId="17" fillId="0" borderId="5" xfId="0" applyFont="1" applyBorder="1" applyAlignment="1">
      <alignment horizontal="center"/>
    </xf>
    <xf numFmtId="164" fontId="17" fillId="0" borderId="20" xfId="0" applyNumberFormat="1" applyFont="1" applyBorder="1" applyAlignment="1">
      <alignment horizontal="center"/>
    </xf>
    <xf numFmtId="164" fontId="17" fillId="0" borderId="21" xfId="0" applyNumberFormat="1" applyFont="1" applyBorder="1" applyAlignment="1">
      <alignment horizontal="center"/>
    </xf>
    <xf numFmtId="0" fontId="17" fillId="0" borderId="2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8" borderId="32" xfId="0" applyFont="1" applyFill="1" applyBorder="1" applyAlignment="1">
      <alignment horizontal="center"/>
    </xf>
    <xf numFmtId="0" fontId="17" fillId="8" borderId="42" xfId="0" applyFont="1" applyFill="1" applyBorder="1" applyAlignment="1">
      <alignment horizontal="center"/>
    </xf>
    <xf numFmtId="0" fontId="17" fillId="8" borderId="49" xfId="0" applyFont="1" applyFill="1" applyBorder="1" applyAlignment="1">
      <alignment horizontal="center"/>
    </xf>
    <xf numFmtId="0" fontId="15" fillId="0" borderId="50" xfId="0" applyFont="1" applyBorder="1" applyAlignment="1">
      <alignment horizontal="right"/>
    </xf>
    <xf numFmtId="0" fontId="15" fillId="0" borderId="44" xfId="0" applyFont="1" applyBorder="1" applyAlignment="1">
      <alignment horizontal="right"/>
    </xf>
    <xf numFmtId="0" fontId="15" fillId="0" borderId="46" xfId="0" applyFont="1" applyBorder="1" applyAlignment="1">
      <alignment horizontal="right"/>
    </xf>
    <xf numFmtId="8" fontId="17" fillId="0" borderId="20" xfId="0" applyNumberFormat="1" applyFont="1" applyBorder="1" applyAlignment="1">
      <alignment horizontal="center"/>
    </xf>
    <xf numFmtId="8" fontId="17" fillId="0" borderId="21" xfId="0" applyNumberFormat="1" applyFont="1" applyBorder="1" applyAlignment="1">
      <alignment horizontal="center"/>
    </xf>
    <xf numFmtId="0" fontId="17" fillId="0" borderId="38" xfId="0" applyFont="1" applyBorder="1" applyAlignment="1">
      <alignment horizontal="left" vertical="center" wrapText="1"/>
    </xf>
    <xf numFmtId="0" fontId="17" fillId="0" borderId="8" xfId="0" applyFont="1" applyBorder="1" applyAlignment="1">
      <alignment horizontal="left" vertical="center" wrapText="1"/>
    </xf>
    <xf numFmtId="0" fontId="17" fillId="0" borderId="39" xfId="0" applyFont="1" applyBorder="1" applyAlignment="1">
      <alignment horizontal="center"/>
    </xf>
    <xf numFmtId="0" fontId="17" fillId="0" borderId="40" xfId="0" applyFont="1" applyBorder="1" applyAlignment="1">
      <alignment horizontal="center"/>
    </xf>
    <xf numFmtId="164" fontId="17" fillId="0" borderId="39" xfId="0" applyNumberFormat="1" applyFont="1" applyBorder="1" applyAlignment="1">
      <alignment horizontal="center"/>
    </xf>
    <xf numFmtId="164" fontId="17" fillId="0" borderId="40" xfId="0" applyNumberFormat="1" applyFont="1" applyBorder="1" applyAlignment="1">
      <alignment horizontal="center"/>
    </xf>
    <xf numFmtId="164" fontId="17" fillId="0" borderId="5" xfId="0" applyNumberFormat="1" applyFont="1" applyBorder="1" applyAlignment="1">
      <alignment horizontal="center"/>
    </xf>
    <xf numFmtId="0" fontId="17" fillId="0" borderId="32" xfId="0" applyFont="1" applyBorder="1" applyAlignment="1">
      <alignment horizontal="right"/>
    </xf>
    <xf numFmtId="0" fontId="17" fillId="0" borderId="42" xfId="0" applyFont="1" applyBorder="1" applyAlignment="1">
      <alignment horizontal="right"/>
    </xf>
    <xf numFmtId="0" fontId="17" fillId="0" borderId="33" xfId="0" applyFont="1" applyBorder="1" applyAlignment="1">
      <alignment horizontal="right"/>
    </xf>
    <xf numFmtId="0" fontId="15" fillId="7" borderId="43" xfId="0" applyFont="1" applyFill="1" applyBorder="1" applyAlignment="1">
      <alignment horizontal="center"/>
    </xf>
    <xf numFmtId="0" fontId="15" fillId="7" borderId="44" xfId="0" applyFont="1" applyFill="1" applyBorder="1" applyAlignment="1">
      <alignment horizontal="center"/>
    </xf>
    <xf numFmtId="0" fontId="15" fillId="7" borderId="45" xfId="0" applyFont="1" applyFill="1" applyBorder="1" applyAlignment="1">
      <alignment horizontal="center"/>
    </xf>
    <xf numFmtId="0" fontId="15" fillId="7" borderId="46" xfId="0" applyFont="1" applyFill="1" applyBorder="1" applyAlignment="1">
      <alignment horizontal="center"/>
    </xf>
    <xf numFmtId="0" fontId="17" fillId="0" borderId="47" xfId="0" applyFont="1" applyBorder="1" applyAlignment="1">
      <alignment horizontal="center"/>
    </xf>
    <xf numFmtId="164" fontId="17" fillId="0" borderId="48" xfId="0" applyNumberFormat="1" applyFont="1" applyBorder="1" applyAlignment="1">
      <alignment horizontal="center"/>
    </xf>
    <xf numFmtId="0" fontId="16" fillId="0" borderId="20" xfId="0" applyFont="1" applyBorder="1" applyAlignment="1">
      <alignment horizontal="center" wrapText="1"/>
    </xf>
    <xf numFmtId="0" fontId="16" fillId="0" borderId="9" xfId="0" applyFont="1" applyBorder="1" applyAlignment="1">
      <alignment horizontal="center" wrapText="1"/>
    </xf>
    <xf numFmtId="0" fontId="16" fillId="0" borderId="5" xfId="0" applyFont="1" applyBorder="1" applyAlignment="1">
      <alignment horizontal="center" wrapText="1"/>
    </xf>
    <xf numFmtId="0" fontId="16" fillId="8" borderId="27" xfId="0" applyFont="1" applyFill="1" applyBorder="1" applyAlignment="1">
      <alignment horizontal="center" wrapText="1"/>
    </xf>
    <xf numFmtId="0" fontId="16" fillId="8" borderId="28" xfId="0" applyFont="1" applyFill="1" applyBorder="1" applyAlignment="1">
      <alignment horizontal="center" wrapText="1"/>
    </xf>
    <xf numFmtId="0" fontId="16" fillId="8" borderId="29" xfId="0" applyFont="1" applyFill="1" applyBorder="1" applyAlignment="1">
      <alignment horizontal="center" wrapText="1"/>
    </xf>
    <xf numFmtId="0" fontId="16" fillId="8" borderId="30" xfId="0" applyFont="1" applyFill="1" applyBorder="1" applyAlignment="1">
      <alignment horizontal="center" wrapText="1"/>
    </xf>
    <xf numFmtId="0" fontId="16" fillId="0" borderId="21" xfId="0" applyFont="1" applyBorder="1" applyAlignment="1">
      <alignment horizontal="center" wrapText="1"/>
    </xf>
    <xf numFmtId="0" fontId="15" fillId="7" borderId="32" xfId="0" applyFont="1" applyFill="1" applyBorder="1" applyAlignment="1">
      <alignment horizontal="center"/>
    </xf>
    <xf numFmtId="0" fontId="15" fillId="7" borderId="33" xfId="0" applyFont="1" applyFill="1" applyBorder="1" applyAlignment="1">
      <alignment horizontal="center"/>
    </xf>
    <xf numFmtId="0" fontId="15" fillId="7" borderId="34" xfId="0" applyFont="1" applyFill="1" applyBorder="1" applyAlignment="1">
      <alignment horizontal="center"/>
    </xf>
    <xf numFmtId="0" fontId="15" fillId="7" borderId="35" xfId="0" applyFont="1" applyFill="1" applyBorder="1" applyAlignment="1">
      <alignment horizontal="center"/>
    </xf>
    <xf numFmtId="0" fontId="15" fillId="7" borderId="36" xfId="0" applyFont="1" applyFill="1" applyBorder="1" applyAlignment="1">
      <alignment horizontal="center"/>
    </xf>
    <xf numFmtId="0" fontId="15" fillId="7" borderId="37" xfId="0" applyFont="1" applyFill="1" applyBorder="1" applyAlignment="1">
      <alignment horizontal="center"/>
    </xf>
    <xf numFmtId="0" fontId="16" fillId="7" borderId="20" xfId="0" applyFont="1" applyFill="1" applyBorder="1" applyAlignment="1">
      <alignment horizontal="center"/>
    </xf>
    <xf numFmtId="0" fontId="16" fillId="7" borderId="9" xfId="0" applyFont="1" applyFill="1" applyBorder="1" applyAlignment="1">
      <alignment horizontal="center"/>
    </xf>
    <xf numFmtId="0" fontId="15" fillId="0" borderId="20" xfId="0" applyFont="1" applyBorder="1" applyAlignment="1">
      <alignment horizontal="left" wrapText="1"/>
    </xf>
    <xf numFmtId="0" fontId="15" fillId="0" borderId="9" xfId="0" applyFont="1" applyBorder="1" applyAlignment="1">
      <alignment horizontal="left" wrapText="1"/>
    </xf>
    <xf numFmtId="0" fontId="15" fillId="0" borderId="21" xfId="0" applyFont="1" applyBorder="1" applyAlignment="1">
      <alignment horizontal="left" wrapText="1"/>
    </xf>
    <xf numFmtId="0" fontId="17" fillId="0" borderId="23" xfId="0" applyFont="1" applyBorder="1"/>
    <xf numFmtId="0" fontId="17" fillId="0" borderId="5" xfId="0" applyFont="1" applyBorder="1"/>
    <xf numFmtId="0" fontId="15" fillId="0" borderId="20" xfId="0" applyFont="1" applyBorder="1" applyAlignment="1">
      <alignment horizontal="left"/>
    </xf>
    <xf numFmtId="0" fontId="15" fillId="0" borderId="21" xfId="0" applyFont="1" applyBorder="1" applyAlignment="1">
      <alignment horizontal="left"/>
    </xf>
    <xf numFmtId="14" fontId="16" fillId="0" borderId="20" xfId="0" applyNumberFormat="1" applyFont="1" applyBorder="1" applyAlignment="1">
      <alignment horizontal="left" wrapText="1"/>
    </xf>
    <xf numFmtId="0" fontId="16" fillId="0" borderId="9" xfId="0" applyFont="1" applyBorder="1" applyAlignment="1">
      <alignment horizontal="left" wrapText="1"/>
    </xf>
    <xf numFmtId="0" fontId="16" fillId="0" borderId="5" xfId="0" applyFont="1" applyBorder="1" applyAlignment="1">
      <alignment horizontal="left" wrapText="1"/>
    </xf>
    <xf numFmtId="0" fontId="16" fillId="0" borderId="21" xfId="0" applyFont="1" applyBorder="1" applyAlignment="1">
      <alignment horizontal="left" wrapText="1"/>
    </xf>
    <xf numFmtId="0" fontId="13" fillId="6" borderId="0" xfId="0" applyFont="1" applyFill="1" applyAlignment="1">
      <alignment horizontal="center" vertical="center"/>
    </xf>
    <xf numFmtId="0" fontId="16" fillId="0" borderId="20" xfId="0" applyFont="1" applyBorder="1" applyAlignment="1">
      <alignment horizontal="left" wrapText="1"/>
    </xf>
    <xf numFmtId="37" fontId="0" fillId="10" borderId="2" xfId="2" quotePrefix="1" applyNumberFormat="1" applyFont="1" applyFill="1" applyBorder="1" applyAlignment="1">
      <alignment horizontal="center"/>
    </xf>
    <xf numFmtId="44" fontId="0" fillId="10" borderId="5" xfId="2" applyFont="1" applyFill="1" applyBorder="1"/>
    <xf numFmtId="0" fontId="0" fillId="10" borderId="2" xfId="2" applyNumberFormat="1" applyFont="1" applyFill="1" applyBorder="1"/>
    <xf numFmtId="44" fontId="0" fillId="10" borderId="2" xfId="2" applyFont="1" applyFill="1" applyBorder="1"/>
    <xf numFmtId="44" fontId="0" fillId="10" borderId="3" xfId="0" quotePrefix="1" applyNumberForma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A8FF-8648-FD46-B503-7926302BA7F9}">
  <dimension ref="A1:Z31"/>
  <sheetViews>
    <sheetView tabSelected="1" topLeftCell="A6" workbookViewId="0">
      <selection activeCell="A24" sqref="A24"/>
    </sheetView>
  </sheetViews>
  <sheetFormatPr defaultColWidth="8.796875" defaultRowHeight="15.6" x14ac:dyDescent="0.3"/>
  <cols>
    <col min="1" max="1" width="24" customWidth="1"/>
    <col min="2" max="2" width="25.5" bestFit="1" customWidth="1"/>
    <col min="3" max="4" width="16.5" customWidth="1"/>
    <col min="5" max="5" width="14.796875" customWidth="1"/>
    <col min="6" max="6" width="27.296875" customWidth="1"/>
    <col min="7" max="7" width="14.796875" customWidth="1"/>
    <col min="8" max="8" width="38.69921875" customWidth="1"/>
    <col min="9" max="9" width="14.796875" customWidth="1"/>
    <col min="10" max="10" width="26" customWidth="1"/>
    <col min="11" max="13" width="14.796875" customWidth="1"/>
    <col min="14" max="14" width="17.296875" customWidth="1"/>
    <col min="15" max="17" width="14.796875" customWidth="1"/>
    <col min="18" max="18" width="32.69921875" customWidth="1"/>
    <col min="19" max="19" width="21.69921875" hidden="1" customWidth="1"/>
    <col min="20" max="20" width="18.69921875" customWidth="1"/>
    <col min="21" max="21" width="18.69921875" hidden="1" customWidth="1"/>
    <col min="22" max="22" width="24.5" customWidth="1"/>
    <col min="23" max="23" width="18.69921875" hidden="1" customWidth="1"/>
    <col min="24" max="25" width="18.69921875" customWidth="1"/>
    <col min="26" max="26" width="24" customWidth="1"/>
  </cols>
  <sheetData>
    <row r="1" spans="1:26" x14ac:dyDescent="0.3">
      <c r="B1" s="1"/>
    </row>
    <row r="2" spans="1:26" ht="25.8" x14ac:dyDescent="0.3">
      <c r="B2" s="2"/>
      <c r="C2" s="3"/>
      <c r="D2" s="3"/>
      <c r="E2" s="3"/>
      <c r="F2" s="3"/>
      <c r="G2" s="3" t="s">
        <v>109</v>
      </c>
      <c r="H2" s="3"/>
      <c r="I2" s="3"/>
      <c r="J2" s="4"/>
      <c r="L2" s="3"/>
      <c r="M2" s="3"/>
      <c r="N2" s="3"/>
      <c r="O2" s="3"/>
      <c r="P2" s="3"/>
      <c r="Q2" s="3"/>
      <c r="R2" s="3"/>
      <c r="S2" s="2"/>
      <c r="T2" s="2"/>
      <c r="U2" s="2"/>
      <c r="V2" s="2"/>
      <c r="W2" s="2"/>
      <c r="X2" s="2"/>
      <c r="Y2" s="2"/>
      <c r="Z2" s="4"/>
    </row>
    <row r="3" spans="1:26" ht="25.8" x14ac:dyDescent="0.3">
      <c r="A3" s="5" t="s">
        <v>0</v>
      </c>
      <c r="B3" s="6"/>
      <c r="C3" s="3"/>
      <c r="D3" s="3"/>
      <c r="E3" s="3"/>
      <c r="F3" s="3"/>
      <c r="G3" s="3" t="s">
        <v>1</v>
      </c>
      <c r="H3" s="3"/>
      <c r="I3" s="3"/>
      <c r="J3" s="4"/>
      <c r="L3" s="2"/>
      <c r="M3" s="2"/>
      <c r="N3" s="2"/>
      <c r="O3" s="2"/>
      <c r="P3" s="2"/>
      <c r="Q3" s="2"/>
      <c r="R3" s="2"/>
      <c r="S3" s="2"/>
      <c r="T3" s="2"/>
      <c r="U3" s="2"/>
      <c r="V3" s="2"/>
      <c r="W3" s="2"/>
      <c r="X3" s="2"/>
      <c r="Y3" s="2"/>
      <c r="Z3" s="7"/>
    </row>
    <row r="4" spans="1:26" ht="18" x14ac:dyDescent="0.3">
      <c r="A4" s="8" t="s">
        <v>2</v>
      </c>
      <c r="B4" s="9" t="s">
        <v>3</v>
      </c>
      <c r="C4" s="3"/>
      <c r="D4" s="3"/>
      <c r="E4" s="3"/>
      <c r="F4" s="3"/>
      <c r="G4" s="3"/>
      <c r="H4" s="3"/>
      <c r="I4" s="3"/>
      <c r="J4" s="4"/>
    </row>
    <row r="5" spans="1:26" ht="25.8" x14ac:dyDescent="0.3">
      <c r="A5" s="8" t="s">
        <v>4</v>
      </c>
      <c r="B5" s="10">
        <v>400228.75</v>
      </c>
      <c r="C5" s="2"/>
      <c r="D5" s="2"/>
      <c r="E5" s="2"/>
      <c r="F5" s="2"/>
      <c r="G5" s="2"/>
      <c r="H5" s="2"/>
      <c r="I5" s="2"/>
      <c r="J5" s="7"/>
    </row>
    <row r="6" spans="1:26" x14ac:dyDescent="0.3">
      <c r="A6" s="8"/>
      <c r="B6" s="11"/>
      <c r="C6" s="12"/>
      <c r="D6" s="12"/>
      <c r="E6" s="12"/>
      <c r="F6" s="13"/>
      <c r="G6" s="13"/>
      <c r="H6" s="13"/>
      <c r="I6" s="12"/>
      <c r="J6" s="14"/>
    </row>
    <row r="7" spans="1:26" ht="18" x14ac:dyDescent="0.3">
      <c r="E7" s="15"/>
      <c r="H7" s="3"/>
      <c r="I7" s="3"/>
      <c r="J7" s="3"/>
      <c r="K7" s="3"/>
      <c r="L7" s="3"/>
      <c r="M7" s="3"/>
      <c r="N7" s="3"/>
      <c r="X7" s="16"/>
    </row>
    <row r="8" spans="1:26" ht="43.2" x14ac:dyDescent="0.3">
      <c r="A8" t="s">
        <v>5</v>
      </c>
      <c r="B8" s="17" t="s">
        <v>6</v>
      </c>
      <c r="C8" s="18" t="s">
        <v>7</v>
      </c>
      <c r="D8" s="18" t="s">
        <v>8</v>
      </c>
      <c r="E8" s="18" t="s">
        <v>9</v>
      </c>
      <c r="F8" s="18" t="s">
        <v>10</v>
      </c>
      <c r="G8" s="18" t="s">
        <v>9</v>
      </c>
      <c r="H8" s="18" t="s">
        <v>11</v>
      </c>
      <c r="I8" s="18" t="s">
        <v>12</v>
      </c>
      <c r="J8" s="17" t="s">
        <v>13</v>
      </c>
      <c r="K8" s="19" t="s">
        <v>14</v>
      </c>
      <c r="L8" s="19" t="s">
        <v>15</v>
      </c>
      <c r="M8" s="19" t="s">
        <v>16</v>
      </c>
      <c r="N8" s="20" t="s">
        <v>17</v>
      </c>
      <c r="O8" s="21" t="s">
        <v>18</v>
      </c>
      <c r="P8" s="22"/>
      <c r="X8" s="119"/>
    </row>
    <row r="9" spans="1:26" x14ac:dyDescent="0.3">
      <c r="A9" s="23"/>
      <c r="B9" s="24" t="s">
        <v>19</v>
      </c>
      <c r="C9" s="25">
        <f>+(D9+F9+H9+I9+J9+L9+M9+K9+N9)</f>
        <v>27014.400000000001</v>
      </c>
      <c r="D9" s="25">
        <v>27014.400000000001</v>
      </c>
      <c r="E9" s="26"/>
      <c r="F9" s="25"/>
      <c r="G9" s="26"/>
      <c r="H9" s="25"/>
      <c r="I9" s="27"/>
      <c r="J9" s="28"/>
      <c r="K9" s="29"/>
      <c r="L9" s="29"/>
      <c r="M9" s="29"/>
      <c r="N9" s="29">
        <f>+J9*0.15</f>
        <v>0</v>
      </c>
      <c r="O9" s="30">
        <f>+C9</f>
        <v>27014.400000000001</v>
      </c>
      <c r="P9" s="31"/>
      <c r="R9" s="18" t="s">
        <v>20</v>
      </c>
      <c r="S9" s="32" t="s">
        <v>21</v>
      </c>
      <c r="X9" s="119"/>
    </row>
    <row r="10" spans="1:26" x14ac:dyDescent="0.3">
      <c r="B10" s="33" t="s">
        <v>22</v>
      </c>
      <c r="C10" s="25">
        <f t="shared" ref="C10:C17" si="0">+(D10+F10+H10+I10+J10+L10+M10+K10+N10)</f>
        <v>24444.400000000001</v>
      </c>
      <c r="D10" s="34"/>
      <c r="E10" s="35">
        <v>96</v>
      </c>
      <c r="F10" s="34">
        <f t="shared" ref="F10:F17" si="1">+E10*30</f>
        <v>2880</v>
      </c>
      <c r="G10" s="35"/>
      <c r="H10" s="34"/>
      <c r="I10" s="36">
        <f t="shared" ref="I10:I17" si="2">(+F10+H10)*0.2</f>
        <v>576</v>
      </c>
      <c r="J10" s="37">
        <v>17800</v>
      </c>
      <c r="K10" s="37"/>
      <c r="L10" s="37"/>
      <c r="M10" s="37"/>
      <c r="N10" s="37">
        <f t="shared" ref="N10:N17" si="3">(+F10+H10+I10+J10+K10+L10+M10)*0.15</f>
        <v>3188.4</v>
      </c>
      <c r="O10" s="30">
        <f t="shared" ref="O10:O17" si="4">+C10</f>
        <v>24444.400000000001</v>
      </c>
      <c r="P10" s="31"/>
      <c r="R10" s="28"/>
      <c r="S10" s="38" t="s">
        <v>23</v>
      </c>
      <c r="X10" s="119"/>
    </row>
    <row r="11" spans="1:26" x14ac:dyDescent="0.3">
      <c r="B11" s="39" t="s">
        <v>24</v>
      </c>
      <c r="C11" s="25">
        <f t="shared" si="0"/>
        <v>30162.2</v>
      </c>
      <c r="D11" s="34"/>
      <c r="E11" s="35">
        <v>160</v>
      </c>
      <c r="F11" s="34">
        <f t="shared" si="1"/>
        <v>4800</v>
      </c>
      <c r="G11" s="35">
        <v>640</v>
      </c>
      <c r="H11" s="34">
        <f t="shared" ref="H11:H17" si="5">+G11*26</f>
        <v>16640</v>
      </c>
      <c r="I11" s="36">
        <f t="shared" si="2"/>
        <v>4288</v>
      </c>
      <c r="J11" s="37"/>
      <c r="K11" s="40">
        <v>500</v>
      </c>
      <c r="L11" s="37"/>
      <c r="M11" s="37"/>
      <c r="N11" s="37">
        <f t="shared" si="3"/>
        <v>3934.2</v>
      </c>
      <c r="O11" s="30">
        <f t="shared" si="4"/>
        <v>30162.2</v>
      </c>
      <c r="P11" s="31"/>
      <c r="R11" s="41"/>
      <c r="S11" s="41"/>
      <c r="X11" s="119"/>
    </row>
    <row r="12" spans="1:26" x14ac:dyDescent="0.3">
      <c r="B12" s="42" t="s">
        <v>25</v>
      </c>
      <c r="C12" s="25">
        <f t="shared" si="0"/>
        <v>34025.279999999999</v>
      </c>
      <c r="D12" s="25"/>
      <c r="E12" s="43">
        <v>184</v>
      </c>
      <c r="F12" s="34">
        <f t="shared" si="1"/>
        <v>5520</v>
      </c>
      <c r="G12" s="43">
        <v>736</v>
      </c>
      <c r="H12" s="34">
        <f t="shared" si="5"/>
        <v>19136</v>
      </c>
      <c r="I12" s="36">
        <f t="shared" si="2"/>
        <v>4931.2000000000007</v>
      </c>
      <c r="J12" s="29"/>
      <c r="K12" s="29"/>
      <c r="L12" s="29"/>
      <c r="M12" s="29"/>
      <c r="N12" s="37">
        <f t="shared" si="3"/>
        <v>4438.08</v>
      </c>
      <c r="O12" s="30">
        <f t="shared" si="4"/>
        <v>34025.279999999999</v>
      </c>
      <c r="P12" s="31"/>
      <c r="R12" s="41"/>
      <c r="S12" s="41"/>
      <c r="U12" s="44"/>
    </row>
    <row r="13" spans="1:26" x14ac:dyDescent="0.3">
      <c r="B13" s="45" t="s">
        <v>26</v>
      </c>
      <c r="C13" s="25">
        <f t="shared" si="0"/>
        <v>29587.200000000001</v>
      </c>
      <c r="D13" s="36"/>
      <c r="E13" s="35">
        <v>160</v>
      </c>
      <c r="F13" s="34">
        <f t="shared" si="1"/>
        <v>4800</v>
      </c>
      <c r="G13" s="35">
        <v>640</v>
      </c>
      <c r="H13" s="34">
        <f t="shared" si="5"/>
        <v>16640</v>
      </c>
      <c r="I13" s="36">
        <f t="shared" si="2"/>
        <v>4288</v>
      </c>
      <c r="J13" s="37"/>
      <c r="K13" s="37"/>
      <c r="L13" s="37"/>
      <c r="M13" s="37"/>
      <c r="N13" s="37">
        <f t="shared" si="3"/>
        <v>3859.2</v>
      </c>
      <c r="O13" s="30">
        <f t="shared" si="4"/>
        <v>29587.200000000001</v>
      </c>
      <c r="P13" s="31"/>
      <c r="R13" s="41"/>
      <c r="S13" s="41"/>
      <c r="U13" s="44"/>
    </row>
    <row r="14" spans="1:26" x14ac:dyDescent="0.3">
      <c r="B14" s="46" t="s">
        <v>27</v>
      </c>
      <c r="C14" s="25">
        <f t="shared" si="0"/>
        <v>34025.279999999999</v>
      </c>
      <c r="D14" s="27"/>
      <c r="E14" s="43">
        <v>184</v>
      </c>
      <c r="F14" s="29">
        <f t="shared" si="1"/>
        <v>5520</v>
      </c>
      <c r="G14" s="43">
        <v>736</v>
      </c>
      <c r="H14" s="34">
        <f t="shared" si="5"/>
        <v>19136</v>
      </c>
      <c r="I14" s="36">
        <f t="shared" si="2"/>
        <v>4931.2000000000007</v>
      </c>
      <c r="J14" s="29"/>
      <c r="K14" s="29"/>
      <c r="L14" s="29"/>
      <c r="M14" s="29"/>
      <c r="N14" s="37">
        <f t="shared" si="3"/>
        <v>4438.08</v>
      </c>
      <c r="O14" s="30">
        <f t="shared" si="4"/>
        <v>34025.279999999999</v>
      </c>
      <c r="P14" s="31"/>
      <c r="R14" s="41"/>
      <c r="S14" s="41"/>
    </row>
    <row r="15" spans="1:26" x14ac:dyDescent="0.3">
      <c r="B15" s="47" t="s">
        <v>28</v>
      </c>
      <c r="C15" s="27">
        <f t="shared" si="0"/>
        <v>32545.919999999998</v>
      </c>
      <c r="D15" s="48"/>
      <c r="E15" s="41">
        <v>176</v>
      </c>
      <c r="F15" s="29">
        <f t="shared" si="1"/>
        <v>5280</v>
      </c>
      <c r="G15" s="49">
        <v>704</v>
      </c>
      <c r="H15" s="29">
        <f t="shared" si="5"/>
        <v>18304</v>
      </c>
      <c r="I15" s="29">
        <f t="shared" si="2"/>
        <v>4716.8</v>
      </c>
      <c r="J15" s="29"/>
      <c r="K15" s="29"/>
      <c r="L15" s="29"/>
      <c r="M15" s="29"/>
      <c r="N15" s="29">
        <f t="shared" si="3"/>
        <v>4245.12</v>
      </c>
      <c r="O15" s="30">
        <f t="shared" si="4"/>
        <v>32545.919999999998</v>
      </c>
      <c r="P15" s="31"/>
      <c r="R15" s="41"/>
      <c r="S15" s="41"/>
    </row>
    <row r="16" spans="1:26" x14ac:dyDescent="0.3">
      <c r="B16" s="46" t="s">
        <v>29</v>
      </c>
      <c r="C16" s="27">
        <f t="shared" si="0"/>
        <v>31066.560000000001</v>
      </c>
      <c r="D16" s="27"/>
      <c r="E16" s="43">
        <v>168</v>
      </c>
      <c r="F16" s="29">
        <f t="shared" si="1"/>
        <v>5040</v>
      </c>
      <c r="G16" s="43">
        <v>672</v>
      </c>
      <c r="H16" s="29">
        <f t="shared" si="5"/>
        <v>17472</v>
      </c>
      <c r="I16" s="29">
        <f t="shared" si="2"/>
        <v>4502.4000000000005</v>
      </c>
      <c r="J16" s="29"/>
      <c r="K16" s="29"/>
      <c r="L16" s="29"/>
      <c r="M16" s="29"/>
      <c r="N16" s="29">
        <f t="shared" si="3"/>
        <v>4052.16</v>
      </c>
      <c r="O16" s="30">
        <f t="shared" si="4"/>
        <v>31066.560000000001</v>
      </c>
      <c r="P16" s="31"/>
      <c r="R16" s="41"/>
      <c r="S16" s="41"/>
    </row>
    <row r="17" spans="1:19" x14ac:dyDescent="0.3">
      <c r="B17" s="195" t="s">
        <v>30</v>
      </c>
      <c r="C17" s="196"/>
      <c r="D17" s="196"/>
      <c r="E17" s="197"/>
      <c r="F17" s="198"/>
      <c r="G17" s="197"/>
      <c r="H17" s="198"/>
      <c r="I17" s="198"/>
      <c r="J17" s="198"/>
      <c r="K17" s="198"/>
      <c r="L17" s="198"/>
      <c r="M17" s="198"/>
      <c r="N17" s="198"/>
      <c r="O17" s="199"/>
      <c r="P17" s="31"/>
      <c r="R17" s="41"/>
      <c r="S17" s="41"/>
    </row>
    <row r="18" spans="1:19" x14ac:dyDescent="0.3">
      <c r="B18" s="50"/>
      <c r="C18" s="27"/>
      <c r="D18" s="27"/>
      <c r="E18" s="43"/>
      <c r="F18" s="29"/>
      <c r="G18" s="43"/>
      <c r="H18" s="29"/>
      <c r="I18" s="29"/>
      <c r="J18" s="29"/>
      <c r="K18" s="29"/>
      <c r="L18" s="29"/>
      <c r="M18" s="29"/>
      <c r="N18" s="29"/>
      <c r="O18" s="30"/>
      <c r="P18" s="31"/>
      <c r="R18" s="41"/>
      <c r="S18" s="41"/>
    </row>
    <row r="19" spans="1:19" x14ac:dyDescent="0.3">
      <c r="B19" s="51"/>
      <c r="C19" s="27"/>
      <c r="D19" s="27"/>
      <c r="E19" s="43"/>
      <c r="F19" s="29"/>
      <c r="G19" s="43"/>
      <c r="H19" s="29"/>
      <c r="I19" s="29"/>
      <c r="J19" s="29"/>
      <c r="K19" s="29"/>
      <c r="L19" s="29"/>
      <c r="M19" s="29"/>
      <c r="N19" s="29"/>
      <c r="O19" s="30"/>
      <c r="P19" s="31"/>
      <c r="R19" s="41"/>
      <c r="S19" s="41"/>
    </row>
    <row r="20" spans="1:19" ht="21" customHeight="1" x14ac:dyDescent="0.3">
      <c r="B20" s="52"/>
      <c r="C20" s="36"/>
      <c r="D20" s="36"/>
      <c r="E20" s="35"/>
      <c r="F20" s="37"/>
      <c r="G20" s="35"/>
      <c r="H20" s="37"/>
      <c r="I20" s="37"/>
      <c r="J20" s="37"/>
      <c r="K20" s="37"/>
      <c r="L20" s="37"/>
      <c r="M20" s="37"/>
      <c r="N20" s="37"/>
      <c r="O20" s="53"/>
      <c r="P20" s="31"/>
      <c r="R20" s="54">
        <f>SUM(R10:R19)</f>
        <v>0</v>
      </c>
      <c r="S20" t="s">
        <v>31</v>
      </c>
    </row>
    <row r="21" spans="1:19" ht="15" customHeight="1" x14ac:dyDescent="0.3">
      <c r="A21" s="55" t="s">
        <v>110</v>
      </c>
      <c r="B21" s="56"/>
      <c r="C21" s="57">
        <f>SUM(C9:C20)</f>
        <v>242871.24</v>
      </c>
      <c r="D21" s="57">
        <f t="shared" ref="D21:O21" si="6">SUM(D9:D20)</f>
        <v>27014.400000000001</v>
      </c>
      <c r="E21" s="57">
        <f t="shared" si="6"/>
        <v>1128</v>
      </c>
      <c r="F21" s="57">
        <f t="shared" si="6"/>
        <v>33840</v>
      </c>
      <c r="G21" s="57">
        <f t="shared" si="6"/>
        <v>4128</v>
      </c>
      <c r="H21" s="57">
        <f t="shared" si="6"/>
        <v>107328</v>
      </c>
      <c r="I21" s="57">
        <f t="shared" si="6"/>
        <v>28233.600000000002</v>
      </c>
      <c r="J21" s="57">
        <f t="shared" si="6"/>
        <v>17800</v>
      </c>
      <c r="K21" s="57">
        <f t="shared" si="6"/>
        <v>500</v>
      </c>
      <c r="L21" s="57">
        <f t="shared" si="6"/>
        <v>0</v>
      </c>
      <c r="M21" s="57">
        <f t="shared" si="6"/>
        <v>0</v>
      </c>
      <c r="N21" s="57">
        <f t="shared" si="6"/>
        <v>28155.239999999998</v>
      </c>
      <c r="O21" s="57">
        <f t="shared" si="6"/>
        <v>242871.24</v>
      </c>
      <c r="P21" s="58"/>
      <c r="R21" s="59">
        <v>17800</v>
      </c>
      <c r="S21" t="s">
        <v>32</v>
      </c>
    </row>
    <row r="22" spans="1:19" ht="15" customHeight="1" x14ac:dyDescent="0.3">
      <c r="A22" s="55" t="s">
        <v>33</v>
      </c>
      <c r="B22" s="60"/>
      <c r="C22" s="61">
        <f>+(F22+H22+I22+J22+L22+M22+K22+N22)</f>
        <v>400228.75</v>
      </c>
      <c r="D22" s="61"/>
      <c r="E22" s="62">
        <v>2000</v>
      </c>
      <c r="F22" s="63">
        <f>+E22*30</f>
        <v>60000</v>
      </c>
      <c r="G22" s="62">
        <v>8000</v>
      </c>
      <c r="H22" s="63">
        <f>+G22*26</f>
        <v>208000</v>
      </c>
      <c r="I22" s="63">
        <f>+(F22+H22)*0.2</f>
        <v>53600</v>
      </c>
      <c r="J22" s="63">
        <f>1*17800</f>
        <v>17800</v>
      </c>
      <c r="K22" s="64">
        <f>5*125</f>
        <v>625</v>
      </c>
      <c r="L22" s="63">
        <f>1*5000</f>
        <v>5000</v>
      </c>
      <c r="M22" s="63">
        <f>1*3000</f>
        <v>3000</v>
      </c>
      <c r="N22" s="63">
        <f>+(F22+H22+I22+J22+L22+M22+K22)*0.15</f>
        <v>52203.75</v>
      </c>
      <c r="O22" s="65"/>
      <c r="P22" s="66"/>
      <c r="R22" s="54">
        <f>+R21-R20</f>
        <v>17800</v>
      </c>
      <c r="S22" t="s">
        <v>34</v>
      </c>
    </row>
    <row r="23" spans="1:19" ht="16.2" thickBot="1" x14ac:dyDescent="0.35">
      <c r="A23" s="55" t="s">
        <v>111</v>
      </c>
      <c r="B23" s="67"/>
      <c r="C23" s="68">
        <f>+C22-C21</f>
        <v>157357.51</v>
      </c>
      <c r="D23" s="68"/>
      <c r="E23" s="69">
        <f t="shared" ref="E23:N23" si="7">+E22-E21</f>
        <v>872</v>
      </c>
      <c r="F23" s="68">
        <f t="shared" si="7"/>
        <v>26160</v>
      </c>
      <c r="G23" s="69">
        <f t="shared" si="7"/>
        <v>3872</v>
      </c>
      <c r="H23" s="68">
        <f t="shared" si="7"/>
        <v>100672</v>
      </c>
      <c r="I23" s="68">
        <f t="shared" si="7"/>
        <v>25366.399999999998</v>
      </c>
      <c r="J23" s="68">
        <f t="shared" si="7"/>
        <v>0</v>
      </c>
      <c r="K23" s="70">
        <f t="shared" si="7"/>
        <v>125</v>
      </c>
      <c r="L23" s="68">
        <f t="shared" si="7"/>
        <v>5000</v>
      </c>
      <c r="M23" s="68">
        <f t="shared" si="7"/>
        <v>3000</v>
      </c>
      <c r="N23" s="68">
        <f t="shared" si="7"/>
        <v>24048.510000000002</v>
      </c>
      <c r="O23" s="68"/>
      <c r="P23" s="71"/>
    </row>
    <row r="24" spans="1:19" ht="16.2" thickTop="1" x14ac:dyDescent="0.3">
      <c r="A24" s="55" t="s">
        <v>35</v>
      </c>
      <c r="B24" s="72"/>
      <c r="C24" s="48"/>
      <c r="D24" s="48"/>
      <c r="E24" s="73"/>
      <c r="F24" s="48"/>
      <c r="G24" s="73"/>
      <c r="H24" s="48"/>
      <c r="I24" s="44"/>
      <c r="J24" s="44"/>
      <c r="K24" s="44"/>
      <c r="L24" s="44"/>
      <c r="M24" s="44"/>
      <c r="N24" s="44"/>
      <c r="O24" s="74"/>
      <c r="P24" s="74"/>
    </row>
    <row r="25" spans="1:19" x14ac:dyDescent="0.3">
      <c r="B25" s="1"/>
      <c r="C25" s="75"/>
      <c r="D25" s="75"/>
      <c r="E25" s="76"/>
      <c r="F25" s="75"/>
      <c r="G25" s="76"/>
      <c r="H25" s="75"/>
      <c r="I25" s="44"/>
      <c r="J25" s="44"/>
      <c r="K25" s="44"/>
      <c r="L25" s="44"/>
      <c r="M25" s="44"/>
      <c r="N25" s="44"/>
      <c r="O25" s="77"/>
      <c r="P25" s="77"/>
    </row>
    <row r="26" spans="1:19" ht="26.4" thickBot="1" x14ac:dyDescent="0.35">
      <c r="B26" s="15" t="s">
        <v>19</v>
      </c>
      <c r="C26" s="3"/>
      <c r="D26" s="3"/>
      <c r="E26" s="2"/>
      <c r="F26" s="2"/>
      <c r="G26" s="2"/>
      <c r="H26" s="2"/>
      <c r="I26" s="2"/>
    </row>
    <row r="27" spans="1:19" ht="16.2" thickBot="1" x14ac:dyDescent="0.35">
      <c r="B27" t="s">
        <v>36</v>
      </c>
      <c r="C27" s="78">
        <f>1*30*168</f>
        <v>5040</v>
      </c>
      <c r="D27" s="78"/>
      <c r="F27" s="79" t="s">
        <v>37</v>
      </c>
      <c r="G27" s="80" t="s">
        <v>38</v>
      </c>
      <c r="H27" s="80" t="s">
        <v>39</v>
      </c>
      <c r="I27" s="80" t="s">
        <v>40</v>
      </c>
      <c r="J27" s="79" t="s">
        <v>41</v>
      </c>
    </row>
    <row r="28" spans="1:19" x14ac:dyDescent="0.3">
      <c r="B28" s="81" t="s">
        <v>42</v>
      </c>
      <c r="C28" s="82">
        <f>4*26*168</f>
        <v>17472</v>
      </c>
      <c r="D28" s="83"/>
      <c r="F28" s="120">
        <v>1</v>
      </c>
      <c r="G28" s="123" t="s">
        <v>43</v>
      </c>
      <c r="H28" s="84" t="s">
        <v>44</v>
      </c>
      <c r="I28" s="126">
        <v>27014.400000000001</v>
      </c>
      <c r="J28" s="85" t="s">
        <v>45</v>
      </c>
    </row>
    <row r="29" spans="1:19" x14ac:dyDescent="0.3">
      <c r="B29" s="86" t="s">
        <v>46</v>
      </c>
      <c r="C29" s="87">
        <f>SUM(C27:C28)</f>
        <v>22512</v>
      </c>
      <c r="D29" s="87"/>
      <c r="F29" s="121"/>
      <c r="G29" s="124"/>
      <c r="H29" s="84" t="s">
        <v>47</v>
      </c>
      <c r="I29" s="127"/>
      <c r="J29" s="88"/>
    </row>
    <row r="30" spans="1:19" ht="16.2" thickBot="1" x14ac:dyDescent="0.35">
      <c r="B30" t="s">
        <v>48</v>
      </c>
      <c r="C30" s="89">
        <f>+C29*0.2</f>
        <v>4502.4000000000005</v>
      </c>
      <c r="D30" s="83"/>
      <c r="F30" s="121"/>
      <c r="G30" s="124"/>
      <c r="H30" s="84" t="s">
        <v>49</v>
      </c>
      <c r="I30" s="127"/>
      <c r="J30" s="88"/>
    </row>
    <row r="31" spans="1:19" ht="16.8" thickTop="1" thickBot="1" x14ac:dyDescent="0.35">
      <c r="B31" s="54" t="s">
        <v>50</v>
      </c>
      <c r="C31" s="87">
        <f>SUM(C29:C30)</f>
        <v>27014.400000000001</v>
      </c>
      <c r="D31" s="87"/>
      <c r="F31" s="122"/>
      <c r="G31" s="125"/>
      <c r="H31" s="90" t="s">
        <v>51</v>
      </c>
      <c r="I31" s="128"/>
      <c r="J31" s="91"/>
    </row>
  </sheetData>
  <mergeCells count="4">
    <mergeCell ref="X8:X11"/>
    <mergeCell ref="F28:F31"/>
    <mergeCell ref="G28:G31"/>
    <mergeCell ref="I28:I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E71D-84D3-1A47-9FFA-6D386A815276}">
  <dimension ref="A1:J26"/>
  <sheetViews>
    <sheetView workbookViewId="0">
      <selection activeCell="A25" sqref="A25:J25"/>
    </sheetView>
  </sheetViews>
  <sheetFormatPr defaultColWidth="11.19921875" defaultRowHeight="15.6" x14ac:dyDescent="0.3"/>
  <cols>
    <col min="1" max="1" width="25.296875" customWidth="1"/>
    <col min="10" max="10" width="16" customWidth="1"/>
  </cols>
  <sheetData>
    <row r="1" spans="1:10" x14ac:dyDescent="0.3">
      <c r="A1" s="193" t="s">
        <v>52</v>
      </c>
      <c r="B1" s="193"/>
      <c r="C1" s="193"/>
      <c r="D1" s="193"/>
      <c r="E1" s="193"/>
      <c r="F1" s="193"/>
      <c r="G1" s="193"/>
      <c r="H1" s="193"/>
      <c r="I1" s="193"/>
      <c r="J1" s="193"/>
    </row>
    <row r="2" spans="1:10" x14ac:dyDescent="0.3">
      <c r="A2" s="193"/>
      <c r="B2" s="193"/>
      <c r="C2" s="193"/>
      <c r="D2" s="193"/>
      <c r="E2" s="193"/>
      <c r="F2" s="193"/>
      <c r="G2" s="193"/>
      <c r="H2" s="193"/>
      <c r="I2" s="193"/>
      <c r="J2" s="193"/>
    </row>
    <row r="3" spans="1:10" x14ac:dyDescent="0.3">
      <c r="A3" s="193"/>
      <c r="B3" s="193"/>
      <c r="C3" s="193"/>
      <c r="D3" s="193"/>
      <c r="E3" s="193"/>
      <c r="F3" s="193"/>
      <c r="G3" s="193"/>
      <c r="H3" s="193"/>
      <c r="I3" s="193"/>
      <c r="J3" s="193"/>
    </row>
    <row r="4" spans="1:10" x14ac:dyDescent="0.3">
      <c r="A4" s="92" t="s">
        <v>53</v>
      </c>
      <c r="B4" s="194" t="s">
        <v>112</v>
      </c>
      <c r="C4" s="190"/>
      <c r="D4" s="190"/>
      <c r="E4" s="190"/>
      <c r="F4" s="190"/>
      <c r="G4" s="190"/>
      <c r="H4" s="190"/>
      <c r="I4" s="190"/>
      <c r="J4" s="192"/>
    </row>
    <row r="5" spans="1:10" x14ac:dyDescent="0.3">
      <c r="A5" s="93" t="s">
        <v>54</v>
      </c>
      <c r="B5" s="194" t="s">
        <v>113</v>
      </c>
      <c r="C5" s="190"/>
      <c r="D5" s="192"/>
      <c r="E5" s="94" t="s">
        <v>114</v>
      </c>
      <c r="F5" s="194" t="s">
        <v>115</v>
      </c>
      <c r="G5" s="190"/>
      <c r="H5" s="192"/>
      <c r="I5" s="94" t="s">
        <v>55</v>
      </c>
      <c r="J5" s="95">
        <v>95020</v>
      </c>
    </row>
    <row r="6" spans="1:10" x14ac:dyDescent="0.3">
      <c r="A6" s="96" t="s">
        <v>56</v>
      </c>
      <c r="B6" s="194" t="s">
        <v>57</v>
      </c>
      <c r="C6" s="190"/>
      <c r="D6" s="192"/>
      <c r="E6" s="94" t="s">
        <v>58</v>
      </c>
      <c r="F6" s="194"/>
      <c r="G6" s="190"/>
      <c r="H6" s="192"/>
      <c r="I6" s="94" t="s">
        <v>59</v>
      </c>
      <c r="J6" s="95" t="s">
        <v>60</v>
      </c>
    </row>
    <row r="7" spans="1:10" x14ac:dyDescent="0.3">
      <c r="A7" s="180"/>
      <c r="B7" s="181"/>
      <c r="C7" s="181"/>
      <c r="D7" s="181"/>
      <c r="E7" s="181"/>
      <c r="F7" s="181"/>
      <c r="G7" s="181"/>
      <c r="H7" s="181"/>
      <c r="I7" s="181"/>
      <c r="J7" s="181"/>
    </row>
    <row r="8" spans="1:10" x14ac:dyDescent="0.3">
      <c r="A8" s="97" t="s">
        <v>61</v>
      </c>
      <c r="B8" s="182" t="s">
        <v>62</v>
      </c>
      <c r="C8" s="183"/>
      <c r="D8" s="184"/>
      <c r="E8" s="185" t="s">
        <v>63</v>
      </c>
      <c r="F8" s="186"/>
      <c r="G8" s="187"/>
      <c r="H8" s="188"/>
      <c r="I8" s="98" t="s">
        <v>64</v>
      </c>
      <c r="J8" s="118">
        <v>45265</v>
      </c>
    </row>
    <row r="9" spans="1:10" x14ac:dyDescent="0.3">
      <c r="A9" s="99" t="s">
        <v>65</v>
      </c>
      <c r="B9" s="189">
        <v>45231</v>
      </c>
      <c r="C9" s="190"/>
      <c r="D9" s="190"/>
      <c r="E9" s="191"/>
      <c r="F9" s="100" t="s">
        <v>66</v>
      </c>
      <c r="G9" s="189">
        <v>45260</v>
      </c>
      <c r="H9" s="190"/>
      <c r="I9" s="190"/>
      <c r="J9" s="192"/>
    </row>
    <row r="10" spans="1:10" x14ac:dyDescent="0.3">
      <c r="A10" s="101" t="s">
        <v>67</v>
      </c>
      <c r="B10" s="166">
        <v>1</v>
      </c>
      <c r="C10" s="167"/>
      <c r="D10" s="167"/>
      <c r="E10" s="167"/>
      <c r="F10" s="168"/>
      <c r="G10" s="169"/>
      <c r="H10" s="169"/>
      <c r="I10" s="169"/>
      <c r="J10" s="170"/>
    </row>
    <row r="11" spans="1:10" x14ac:dyDescent="0.3">
      <c r="A11" s="102" t="s">
        <v>68</v>
      </c>
      <c r="B11" s="166"/>
      <c r="C11" s="167"/>
      <c r="D11" s="167"/>
      <c r="E11" s="167"/>
      <c r="F11" s="173"/>
      <c r="G11" s="171"/>
      <c r="H11" s="171"/>
      <c r="I11" s="171"/>
      <c r="J11" s="172"/>
    </row>
    <row r="12" spans="1:10" ht="16.2" thickBot="1" x14ac:dyDescent="0.35">
      <c r="A12" s="103" t="s">
        <v>69</v>
      </c>
      <c r="B12" s="174" t="s">
        <v>70</v>
      </c>
      <c r="C12" s="175"/>
      <c r="D12" s="174" t="s">
        <v>71</v>
      </c>
      <c r="E12" s="175"/>
      <c r="F12" s="176" t="s">
        <v>72</v>
      </c>
      <c r="G12" s="177"/>
      <c r="H12" s="178" t="s">
        <v>73</v>
      </c>
      <c r="I12" s="179"/>
      <c r="J12" s="104" t="s">
        <v>74</v>
      </c>
    </row>
    <row r="13" spans="1:10" x14ac:dyDescent="0.3">
      <c r="A13" s="150" t="s">
        <v>75</v>
      </c>
      <c r="B13" s="152" t="s">
        <v>76</v>
      </c>
      <c r="C13" s="153"/>
      <c r="D13" s="152">
        <f>B10*1</f>
        <v>1</v>
      </c>
      <c r="E13" s="153"/>
      <c r="F13" s="152">
        <v>176</v>
      </c>
      <c r="G13" s="153"/>
      <c r="H13" s="154">
        <v>30</v>
      </c>
      <c r="I13" s="155"/>
      <c r="J13" s="105">
        <f>F13*H13</f>
        <v>5280</v>
      </c>
    </row>
    <row r="14" spans="1:10" x14ac:dyDescent="0.3">
      <c r="A14" s="151"/>
      <c r="B14" s="134" t="s">
        <v>77</v>
      </c>
      <c r="C14" s="136"/>
      <c r="D14" s="134">
        <f>B10*4</f>
        <v>4</v>
      </c>
      <c r="E14" s="136"/>
      <c r="F14" s="134">
        <v>704</v>
      </c>
      <c r="G14" s="136"/>
      <c r="H14" s="137">
        <v>26</v>
      </c>
      <c r="I14" s="156"/>
      <c r="J14" s="105">
        <f>F14*H14</f>
        <v>18304</v>
      </c>
    </row>
    <row r="15" spans="1:10" ht="16.2" thickBot="1" x14ac:dyDescent="0.35">
      <c r="A15" s="106" t="s">
        <v>78</v>
      </c>
      <c r="B15" s="157" t="s">
        <v>79</v>
      </c>
      <c r="C15" s="158"/>
      <c r="D15" s="158"/>
      <c r="E15" s="158"/>
      <c r="F15" s="158"/>
      <c r="G15" s="158"/>
      <c r="H15" s="158"/>
      <c r="I15" s="159"/>
      <c r="J15" s="107">
        <f>SUM(J13:J14)*0.2</f>
        <v>4716.8</v>
      </c>
    </row>
    <row r="16" spans="1:10" ht="16.2" thickBot="1" x14ac:dyDescent="0.35">
      <c r="A16" s="108"/>
      <c r="B16" s="160" t="s">
        <v>70</v>
      </c>
      <c r="C16" s="161"/>
      <c r="D16" s="161"/>
      <c r="E16" s="161"/>
      <c r="F16" s="162"/>
      <c r="G16" s="109" t="s">
        <v>80</v>
      </c>
      <c r="H16" s="160" t="s">
        <v>81</v>
      </c>
      <c r="I16" s="163"/>
      <c r="J16" s="104" t="s">
        <v>74</v>
      </c>
    </row>
    <row r="17" spans="1:10" x14ac:dyDescent="0.3">
      <c r="A17" s="110" t="s">
        <v>82</v>
      </c>
      <c r="B17" s="152"/>
      <c r="C17" s="164"/>
      <c r="D17" s="164"/>
      <c r="E17" s="164"/>
      <c r="F17" s="153"/>
      <c r="G17" s="111">
        <v>125</v>
      </c>
      <c r="H17" s="154"/>
      <c r="I17" s="165"/>
      <c r="J17" s="105">
        <v>0</v>
      </c>
    </row>
    <row r="18" spans="1:10" x14ac:dyDescent="0.3">
      <c r="A18" s="112" t="s">
        <v>83</v>
      </c>
      <c r="B18" s="134" t="s">
        <v>84</v>
      </c>
      <c r="C18" s="135"/>
      <c r="D18" s="135"/>
      <c r="E18" s="135"/>
      <c r="F18" s="136"/>
      <c r="G18" s="105">
        <v>5000</v>
      </c>
      <c r="H18" s="148"/>
      <c r="I18" s="149"/>
      <c r="J18" s="105">
        <v>0</v>
      </c>
    </row>
    <row r="19" spans="1:10" ht="28.8" x14ac:dyDescent="0.3">
      <c r="A19" s="112" t="s">
        <v>85</v>
      </c>
      <c r="B19" s="134" t="s">
        <v>86</v>
      </c>
      <c r="C19" s="135"/>
      <c r="D19" s="135"/>
      <c r="E19" s="135"/>
      <c r="F19" s="136"/>
      <c r="G19" s="105">
        <v>3000</v>
      </c>
      <c r="H19" s="137"/>
      <c r="I19" s="138"/>
      <c r="J19" s="105">
        <v>0</v>
      </c>
    </row>
    <row r="20" spans="1:10" ht="16.2" thickBot="1" x14ac:dyDescent="0.35">
      <c r="A20" s="114" t="s">
        <v>89</v>
      </c>
      <c r="B20" s="142"/>
      <c r="C20" s="143"/>
      <c r="D20" s="143"/>
      <c r="E20" s="143"/>
      <c r="F20" s="143"/>
      <c r="G20" s="143"/>
      <c r="H20" s="143"/>
      <c r="I20" s="144"/>
      <c r="J20" s="107">
        <f>SUM(J13:J15,J17:J19)*0.15</f>
        <v>4245.12</v>
      </c>
    </row>
    <row r="21" spans="1:10" ht="16.2" thickBot="1" x14ac:dyDescent="0.35">
      <c r="A21" s="113" t="s">
        <v>87</v>
      </c>
      <c r="B21" s="139" t="s">
        <v>88</v>
      </c>
      <c r="C21" s="140"/>
      <c r="D21" s="140"/>
      <c r="E21" s="140"/>
      <c r="F21" s="141"/>
      <c r="G21" s="105"/>
      <c r="H21" s="137"/>
      <c r="I21" s="138"/>
      <c r="J21" s="25">
        <v>27014.400000000001</v>
      </c>
    </row>
    <row r="22" spans="1:10" ht="16.2" thickBot="1" x14ac:dyDescent="0.35">
      <c r="A22" s="145" t="s">
        <v>46</v>
      </c>
      <c r="B22" s="146"/>
      <c r="C22" s="146"/>
      <c r="D22" s="146"/>
      <c r="E22" s="146"/>
      <c r="F22" s="146"/>
      <c r="G22" s="146"/>
      <c r="H22" s="146"/>
      <c r="I22" s="147"/>
      <c r="J22" s="115">
        <f>SUM(J13:J15,J17:J19,J20)-J21</f>
        <v>5531.5199999999968</v>
      </c>
    </row>
    <row r="23" spans="1:10" x14ac:dyDescent="0.3">
      <c r="A23" s="129" t="s">
        <v>90</v>
      </c>
      <c r="B23" s="129"/>
      <c r="C23" s="129"/>
      <c r="D23" s="129"/>
      <c r="E23" s="129"/>
      <c r="F23" s="129"/>
      <c r="G23" s="129"/>
      <c r="H23" s="129"/>
      <c r="I23" s="129"/>
      <c r="J23" s="129"/>
    </row>
    <row r="24" spans="1:10" ht="16.2" thickBot="1" x14ac:dyDescent="0.35">
      <c r="A24" s="130" t="s">
        <v>91</v>
      </c>
      <c r="B24" s="130"/>
      <c r="C24" s="130"/>
      <c r="D24" s="130"/>
      <c r="E24" s="130"/>
      <c r="F24" s="130"/>
      <c r="G24" s="130"/>
      <c r="H24" s="130"/>
      <c r="I24" s="130"/>
      <c r="J24" s="130"/>
    </row>
    <row r="25" spans="1:10" ht="16.2" thickBot="1" x14ac:dyDescent="0.35">
      <c r="A25" s="130" t="s">
        <v>116</v>
      </c>
      <c r="B25" s="130"/>
      <c r="C25" s="130"/>
      <c r="D25" s="130"/>
      <c r="E25" s="130"/>
      <c r="F25" s="130"/>
      <c r="G25" s="130"/>
      <c r="H25" s="130"/>
      <c r="I25" s="130"/>
      <c r="J25" s="130"/>
    </row>
    <row r="26" spans="1:10" ht="16.2" thickBot="1" x14ac:dyDescent="0.35">
      <c r="A26" s="131" t="s">
        <v>92</v>
      </c>
      <c r="B26" s="132"/>
      <c r="C26" s="132"/>
      <c r="D26" s="132"/>
      <c r="E26" s="132"/>
      <c r="F26" s="132"/>
      <c r="G26" s="132"/>
      <c r="H26" s="132"/>
      <c r="I26" s="132"/>
      <c r="J26" s="133"/>
    </row>
  </sheetData>
  <mergeCells count="45">
    <mergeCell ref="A1:J3"/>
    <mergeCell ref="B4:J4"/>
    <mergeCell ref="B5:D5"/>
    <mergeCell ref="F5:H5"/>
    <mergeCell ref="B6:D6"/>
    <mergeCell ref="F6:H6"/>
    <mergeCell ref="A7:J7"/>
    <mergeCell ref="B8:D8"/>
    <mergeCell ref="E8:F8"/>
    <mergeCell ref="G8:H8"/>
    <mergeCell ref="B9:E9"/>
    <mergeCell ref="G9:J9"/>
    <mergeCell ref="B10:F10"/>
    <mergeCell ref="G10:J11"/>
    <mergeCell ref="B11:F11"/>
    <mergeCell ref="B12:C12"/>
    <mergeCell ref="D12:E12"/>
    <mergeCell ref="F12:G12"/>
    <mergeCell ref="H12:I12"/>
    <mergeCell ref="B18:F18"/>
    <mergeCell ref="H18:I18"/>
    <mergeCell ref="A13:A14"/>
    <mergeCell ref="B13:C13"/>
    <mergeCell ref="D13:E13"/>
    <mergeCell ref="F13:G13"/>
    <mergeCell ref="H13:I13"/>
    <mergeCell ref="B14:C14"/>
    <mergeCell ref="D14:E14"/>
    <mergeCell ref="F14:G14"/>
    <mergeCell ref="H14:I14"/>
    <mergeCell ref="B15:I15"/>
    <mergeCell ref="B16:F16"/>
    <mergeCell ref="H16:I16"/>
    <mergeCell ref="B17:F17"/>
    <mergeCell ref="H17:I17"/>
    <mergeCell ref="A23:J23"/>
    <mergeCell ref="A24:J24"/>
    <mergeCell ref="A25:J25"/>
    <mergeCell ref="A26:J26"/>
    <mergeCell ref="B19:F19"/>
    <mergeCell ref="H19:I19"/>
    <mergeCell ref="B21:F21"/>
    <mergeCell ref="H21:I21"/>
    <mergeCell ref="B20:I20"/>
    <mergeCell ref="A22:I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7E648-E304-144A-AE3B-EB53EEE816A7}">
  <dimension ref="A2:M6"/>
  <sheetViews>
    <sheetView workbookViewId="0">
      <selection activeCell="D34" sqref="D34"/>
    </sheetView>
  </sheetViews>
  <sheetFormatPr defaultColWidth="11.19921875" defaultRowHeight="15.6" x14ac:dyDescent="0.3"/>
  <cols>
    <col min="1" max="1" width="22.796875" customWidth="1"/>
  </cols>
  <sheetData>
    <row r="2" spans="1:13" ht="16.2" thickBot="1" x14ac:dyDescent="0.35">
      <c r="A2" s="116"/>
      <c r="B2" s="117" t="s">
        <v>93</v>
      </c>
      <c r="C2" s="117" t="s">
        <v>94</v>
      </c>
      <c r="D2" s="117" t="s">
        <v>95</v>
      </c>
      <c r="E2" s="117" t="s">
        <v>96</v>
      </c>
      <c r="F2" s="117" t="s">
        <v>97</v>
      </c>
      <c r="G2" s="117" t="s">
        <v>98</v>
      </c>
      <c r="H2" s="117" t="s">
        <v>99</v>
      </c>
      <c r="I2" s="117" t="s">
        <v>100</v>
      </c>
      <c r="J2" s="117" t="s">
        <v>101</v>
      </c>
      <c r="K2" s="117" t="s">
        <v>102</v>
      </c>
      <c r="L2" s="117" t="s">
        <v>103</v>
      </c>
      <c r="M2" s="117" t="s">
        <v>104</v>
      </c>
    </row>
    <row r="3" spans="1:13" x14ac:dyDescent="0.3">
      <c r="A3" s="9" t="s">
        <v>105</v>
      </c>
      <c r="B3">
        <v>1</v>
      </c>
      <c r="C3">
        <v>1</v>
      </c>
      <c r="D3">
        <v>1</v>
      </c>
      <c r="E3">
        <v>1</v>
      </c>
      <c r="F3">
        <v>1</v>
      </c>
      <c r="G3">
        <v>1</v>
      </c>
      <c r="H3">
        <v>1</v>
      </c>
      <c r="I3">
        <v>1</v>
      </c>
      <c r="J3">
        <v>1</v>
      </c>
      <c r="K3">
        <v>1</v>
      </c>
      <c r="L3">
        <v>1</v>
      </c>
      <c r="M3">
        <v>1</v>
      </c>
    </row>
    <row r="4" spans="1:13" x14ac:dyDescent="0.3">
      <c r="A4" s="9" t="s">
        <v>106</v>
      </c>
      <c r="B4">
        <f>12*8</f>
        <v>96</v>
      </c>
      <c r="C4">
        <f>20*8</f>
        <v>160</v>
      </c>
      <c r="D4">
        <f>23*8</f>
        <v>184</v>
      </c>
      <c r="E4">
        <f>20*8</f>
        <v>160</v>
      </c>
      <c r="F4">
        <f>23*8</f>
        <v>184</v>
      </c>
      <c r="G4">
        <f>22*8</f>
        <v>176</v>
      </c>
      <c r="H4">
        <f>21*8</f>
        <v>168</v>
      </c>
      <c r="I4">
        <f>23*8</f>
        <v>184</v>
      </c>
      <c r="J4">
        <f>21*8</f>
        <v>168</v>
      </c>
      <c r="K4">
        <f>22*8</f>
        <v>176</v>
      </c>
      <c r="L4">
        <f>22*8</f>
        <v>176</v>
      </c>
      <c r="M4">
        <f>21*8</f>
        <v>168</v>
      </c>
    </row>
    <row r="5" spans="1:13" x14ac:dyDescent="0.3">
      <c r="A5" s="9" t="s">
        <v>107</v>
      </c>
      <c r="B5">
        <f>B3*B4*1</f>
        <v>96</v>
      </c>
      <c r="C5">
        <f t="shared" ref="C5:M5" si="0">C3*C4*1</f>
        <v>160</v>
      </c>
      <c r="D5">
        <f t="shared" si="0"/>
        <v>184</v>
      </c>
      <c r="E5">
        <f t="shared" si="0"/>
        <v>160</v>
      </c>
      <c r="F5">
        <f t="shared" si="0"/>
        <v>184</v>
      </c>
      <c r="G5">
        <f t="shared" si="0"/>
        <v>176</v>
      </c>
      <c r="H5">
        <f t="shared" si="0"/>
        <v>168</v>
      </c>
      <c r="I5">
        <f t="shared" si="0"/>
        <v>184</v>
      </c>
      <c r="J5">
        <f t="shared" si="0"/>
        <v>168</v>
      </c>
      <c r="K5">
        <f t="shared" si="0"/>
        <v>176</v>
      </c>
      <c r="L5">
        <f t="shared" si="0"/>
        <v>176</v>
      </c>
      <c r="M5">
        <f t="shared" si="0"/>
        <v>168</v>
      </c>
    </row>
    <row r="6" spans="1:13" ht="16.2" thickBot="1" x14ac:dyDescent="0.35">
      <c r="A6" s="117" t="s">
        <v>108</v>
      </c>
      <c r="B6" s="116">
        <f>B3*B4*4</f>
        <v>384</v>
      </c>
      <c r="C6" s="116">
        <f t="shared" ref="C6:M6" si="1">C3*C4*4</f>
        <v>640</v>
      </c>
      <c r="D6" s="116">
        <f t="shared" si="1"/>
        <v>736</v>
      </c>
      <c r="E6" s="116">
        <f t="shared" si="1"/>
        <v>640</v>
      </c>
      <c r="F6" s="116">
        <f t="shared" si="1"/>
        <v>736</v>
      </c>
      <c r="G6" s="116">
        <f t="shared" si="1"/>
        <v>704</v>
      </c>
      <c r="H6" s="116">
        <f t="shared" si="1"/>
        <v>672</v>
      </c>
      <c r="I6" s="116">
        <f t="shared" si="1"/>
        <v>736</v>
      </c>
      <c r="J6" s="116">
        <f t="shared" si="1"/>
        <v>672</v>
      </c>
      <c r="K6" s="116">
        <f t="shared" si="1"/>
        <v>704</v>
      </c>
      <c r="L6" s="116">
        <f t="shared" si="1"/>
        <v>704</v>
      </c>
      <c r="M6" s="116">
        <f t="shared" si="1"/>
        <v>672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27A0DE307DC44C9C6D49C199E56D43" ma:contentTypeVersion="20" ma:contentTypeDescription="Create a new document." ma:contentTypeScope="" ma:versionID="9fed82db48bcb881926b6e45aeab989a">
  <xsd:schema xmlns:xsd="http://www.w3.org/2001/XMLSchema" xmlns:xs="http://www.w3.org/2001/XMLSchema" xmlns:p="http://schemas.microsoft.com/office/2006/metadata/properties" xmlns:ns1="http://schemas.microsoft.com/sharepoint/v3" xmlns:ns2="bdde9dca-b655-4c82-9756-0719d4cc3ad5" xmlns:ns3="08b51a6c-15c5-468c-9d03-3812a6e79002" targetNamespace="http://schemas.microsoft.com/office/2006/metadata/properties" ma:root="true" ma:fieldsID="b10dd0d0682a2b2f0d50032ab9be8962" ns1:_="" ns2:_="" ns3:_="">
    <xsd:import namespace="http://schemas.microsoft.com/sharepoint/v3"/>
    <xsd:import namespace="bdde9dca-b655-4c82-9756-0719d4cc3ad5"/>
    <xsd:import namespace="08b51a6c-15c5-468c-9d03-3812a6e790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County"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e9dca-b655-4c82-9756-0719d4cc3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a1b1a5a-f0f9-49c0-b9db-6a9c78dda76a" ma:termSetId="09814cd3-568e-fe90-9814-8d621ff8fb84" ma:anchorId="fba54fb3-c3e1-fe81-a776-ca4b69148c4d" ma:open="true" ma:isKeyword="false">
      <xsd:complexType>
        <xsd:sequence>
          <xsd:element ref="pc:Terms" minOccurs="0" maxOccurs="1"/>
        </xsd:sequence>
      </xsd:complexType>
    </xsd:element>
    <xsd:element name="County" ma:index="24" nillable="true" ma:displayName="County" ma:description="Where PIPs are from" ma:format="Dropdown" ma:internalName="County">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b51a6c-15c5-468c-9d03-3812a6e790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44764a0-56e0-4cd0-8eca-b34752208dec}" ma:internalName="TaxCatchAll" ma:showField="CatchAllData" ma:web="08b51a6c-15c5-468c-9d03-3812a6e79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CDA06-B10D-4AF9-9418-C5D469BDA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e9dca-b655-4c82-9756-0719d4cc3ad5"/>
    <ds:schemaRef ds:uri="08b51a6c-15c5-468c-9d03-3812a6e79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5A8140-2FFB-499E-A0DA-E860206402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 Updated</vt:lpstr>
      <vt:lpstr>November Invoice</vt:lpstr>
      <vt:lpstr>Max 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MAC-A2780-0361</dc:creator>
  <cp:lastModifiedBy>Kim Flores</cp:lastModifiedBy>
  <dcterms:created xsi:type="dcterms:W3CDTF">2023-09-27T15:40:08Z</dcterms:created>
  <dcterms:modified xsi:type="dcterms:W3CDTF">2023-09-28T17:24:21Z</dcterms:modified>
</cp:coreProperties>
</file>