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12"/>
  <workbookPr defaultThemeVersion="166925"/>
  <mc:AlternateContent xmlns:mc="http://schemas.openxmlformats.org/markup-compatibility/2006">
    <mc:Choice Requires="x15">
      <x15ac:absPath xmlns:x15ac="http://schemas.microsoft.com/office/spreadsheetml/2010/11/ac" url="https://calmhsa.sharepoint.com/sites/BehavioralHealthFinancing/Behavioral Health Financing Documents/Behavioral Health Financing Internal/BH Financing Team Projects/BH Fiscal Academy/1. Training Development (in work)/Session 3. BHSA Fiscal Modeling (Submitted)/"/>
    </mc:Choice>
  </mc:AlternateContent>
  <xr:revisionPtr revIDLastSave="304" documentId="8_{F4EBC649-4AC1-42F2-AB22-7C9F7E9B9508}" xr6:coauthVersionLast="47" xr6:coauthVersionMax="47" xr10:uidLastSave="{0CAFC7C6-A2E4-4AD8-8683-2266F7E52E7F}"/>
  <bookViews>
    <workbookView xWindow="-120" yWindow="-120" windowWidth="29040" windowHeight="15720" tabRatio="890" firstSheet="1" activeTab="1" xr2:uid="{6B13CCE7-BBFA-4B5F-A0F3-5DD7269D50A8}"/>
  </bookViews>
  <sheets>
    <sheet name="Instructions" sheetId="75" state="hidden" r:id="rId1"/>
    <sheet name="Annual BHSA Revenues" sheetId="36" r:id="rId2"/>
    <sheet name="Baseline" sheetId="69" r:id="rId3"/>
    <sheet name="Incremental" sheetId="73" r:id="rId4"/>
    <sheet name="Scenarios" sheetId="74" r:id="rId5"/>
  </sheets>
  <definedNames>
    <definedName name="\A">#N/A</definedName>
    <definedName name="\C">#N/A</definedName>
    <definedName name="_1_1000">#REF!</definedName>
    <definedName name="_1_4070_73">#REF!</definedName>
    <definedName name="_15_3000">#REF!</definedName>
    <definedName name="_18_1142">#REF!</definedName>
    <definedName name="_2_1142">#REF!</definedName>
    <definedName name="_22_4000">#REF!</definedName>
    <definedName name="_23_6000">#REF!</definedName>
    <definedName name="_3_3000">#REF!</definedName>
    <definedName name="_30_7000">#REF!</definedName>
    <definedName name="_35_3000">#REF!</definedName>
    <definedName name="_4_4000">#REF!</definedName>
    <definedName name="_4070_73">#REF!</definedName>
    <definedName name="_5_6000">#REF!</definedName>
    <definedName name="_52_4000">#REF!</definedName>
    <definedName name="_52_4000_1">#REF!</definedName>
    <definedName name="_53_6000">#REF!</definedName>
    <definedName name="_6_7000">#REF!</definedName>
    <definedName name="_70_7000">#REF!</definedName>
    <definedName name="_8_1142">#REF!</definedName>
    <definedName name="AOD_Udated">#REF!</definedName>
    <definedName name="ASOF">#N/A</definedName>
    <definedName name="Change">#REF!</definedName>
    <definedName name="ENTIRE">#REF!</definedName>
    <definedName name="ENTIRE_4000">#REF!</definedName>
    <definedName name="ENTIRE_7000">#REF!</definedName>
    <definedName name="Housing_Interventions">#REF!</definedName>
    <definedName name="List_County">#REF!</definedName>
    <definedName name="List_Size">#REF!</definedName>
    <definedName name="MH">#REF!</definedName>
    <definedName name="MONTHS">#N/A</definedName>
    <definedName name="next">#REF!</definedName>
    <definedName name="Other">#REF!</definedName>
    <definedName name="PP">#N/A</definedName>
    <definedName name="Salary_Lookup">#REF!</definedName>
    <definedName name="SLBB">#REF!</definedName>
    <definedName name="SUD">#REF!</definedName>
    <definedName name="tbl_Sort_Key">#REF!</definedName>
    <definedName name="TitleRegion1.a1.h299.12">#REF!</definedName>
    <definedName name="TitleRegion1.a1.k9736.13">#REF!</definedName>
    <definedName name="TitleRegion1.a2.F774.10">#REF!</definedName>
    <definedName name="Unique_Activities" localSheetId="0">_xlfn._xlws.FILTER(_xlfn.UNIQUE(Baseline[Cost Center]),SUMIFS(INDIRECT("Baseline["&amp;Scenarios!B1048558&amp;"]"),Baseline[Cost Center],_xlfn.UNIQUE(Baseline[Cost Center]))&lt;&gt;0)</definedName>
    <definedName name="Unique_Activities">_xlfn._xlws.FILTER(_xlfn.UNIQUE(Baseline[Cost Center]),SUMIFS(INDIRECT("Baseline["&amp;Scenarios!B1048558&amp;"]"),Baseline[Cost Center],_xlfn.UNIQUE(Baseline[Cost Center]))&lt;&gt;0)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36" i="73" l="1"/>
  <c r="J36" i="73"/>
  <c r="L37" i="73"/>
  <c r="N37" i="73"/>
  <c r="K35" i="73"/>
  <c r="N35" i="73"/>
  <c r="G25" i="36"/>
  <c r="G26" i="36"/>
  <c r="N36" i="73" l="1"/>
  <c r="M25" i="36"/>
  <c r="S25" i="36" s="1"/>
  <c r="G24" i="36"/>
  <c r="G22" i="36"/>
  <c r="N34" i="73"/>
  <c r="N31" i="73"/>
  <c r="N32" i="73"/>
  <c r="N33" i="73"/>
  <c r="V42" i="69"/>
  <c r="C44" i="69"/>
  <c r="O44" i="69"/>
  <c r="V44" i="69"/>
  <c r="C42" i="69"/>
  <c r="O42" i="69"/>
  <c r="C40" i="69"/>
  <c r="O40" i="69"/>
  <c r="V40" i="69"/>
  <c r="C38" i="69"/>
  <c r="O38" i="69"/>
  <c r="V38" i="69"/>
  <c r="C35" i="69"/>
  <c r="W44" i="69" l="1"/>
  <c r="W42" i="69"/>
  <c r="W40" i="69"/>
  <c r="W38" i="69"/>
  <c r="O35" i="69"/>
  <c r="V35" i="69"/>
  <c r="C13" i="69"/>
  <c r="O13" i="69"/>
  <c r="V13" i="69"/>
  <c r="W35" i="69" l="1"/>
  <c r="W13" i="69"/>
  <c r="Y24" i="69" l="1"/>
  <c r="Y25" i="69"/>
  <c r="Y26" i="69"/>
  <c r="Y27" i="69"/>
  <c r="Y28" i="69"/>
  <c r="Y29" i="69"/>
  <c r="Y23" i="69"/>
  <c r="C11" i="69"/>
  <c r="C12" i="69"/>
  <c r="C14" i="69"/>
  <c r="C15" i="69"/>
  <c r="C16" i="69"/>
  <c r="C17" i="69"/>
  <c r="C18" i="69"/>
  <c r="C19" i="69"/>
  <c r="C20" i="69"/>
  <c r="C21" i="69"/>
  <c r="C22" i="69"/>
  <c r="C23" i="69"/>
  <c r="C24" i="69"/>
  <c r="C25" i="69"/>
  <c r="C26" i="69"/>
  <c r="C27" i="69"/>
  <c r="C28" i="69"/>
  <c r="C29" i="69"/>
  <c r="C30" i="69"/>
  <c r="C31" i="69"/>
  <c r="C32" i="69"/>
  <c r="C33" i="69"/>
  <c r="C34" i="69"/>
  <c r="C36" i="69"/>
  <c r="C37" i="69"/>
  <c r="C39" i="69"/>
  <c r="C41" i="69"/>
  <c r="C43" i="69"/>
  <c r="C45" i="69"/>
  <c r="C46" i="69"/>
  <c r="C47" i="69"/>
  <c r="C48" i="69"/>
  <c r="C49" i="69"/>
  <c r="C50" i="69"/>
  <c r="C51" i="69"/>
  <c r="C52" i="69"/>
  <c r="C53" i="69"/>
  <c r="C54" i="69"/>
  <c r="C55" i="69"/>
  <c r="C56" i="69"/>
  <c r="C57" i="69"/>
  <c r="C58" i="69"/>
  <c r="C59" i="69"/>
  <c r="C60" i="69"/>
  <c r="C61" i="69"/>
  <c r="C62" i="69"/>
  <c r="C63" i="69"/>
  <c r="C64" i="69"/>
  <c r="C65" i="69"/>
  <c r="C66" i="69"/>
  <c r="C67" i="69"/>
  <c r="C68" i="69"/>
  <c r="C69" i="69"/>
  <c r="C70" i="69"/>
  <c r="C71" i="69"/>
  <c r="C72" i="69"/>
  <c r="C73" i="69"/>
  <c r="C74" i="69"/>
  <c r="C75" i="69"/>
  <c r="C76" i="69"/>
  <c r="C77" i="69"/>
  <c r="C78" i="69"/>
  <c r="C79" i="69"/>
  <c r="C80" i="69"/>
  <c r="C81" i="69"/>
  <c r="C82" i="69"/>
  <c r="C83" i="69"/>
  <c r="C84" i="69"/>
  <c r="C85" i="69"/>
  <c r="C86" i="69"/>
  <c r="C87" i="69"/>
  <c r="C88" i="69"/>
  <c r="C89" i="69"/>
  <c r="C90" i="69"/>
  <c r="C91" i="69"/>
  <c r="C92" i="69"/>
  <c r="C93" i="69"/>
  <c r="C94" i="69"/>
  <c r="C95" i="69"/>
  <c r="C96" i="69"/>
  <c r="C97" i="69"/>
  <c r="C98" i="69"/>
  <c r="C99" i="69"/>
  <c r="C100" i="69"/>
  <c r="C101" i="69"/>
  <c r="C102" i="69"/>
  <c r="C103" i="69"/>
  <c r="C104" i="69"/>
  <c r="O11" i="69"/>
  <c r="O12" i="69"/>
  <c r="O14" i="69"/>
  <c r="O15" i="69"/>
  <c r="O16" i="69"/>
  <c r="O17" i="69"/>
  <c r="O18" i="69"/>
  <c r="O19" i="69"/>
  <c r="O20" i="69"/>
  <c r="O21" i="69"/>
  <c r="O22" i="69"/>
  <c r="O23" i="69"/>
  <c r="O24" i="69"/>
  <c r="O25" i="69"/>
  <c r="O26" i="69"/>
  <c r="O27" i="69"/>
  <c r="O28" i="69"/>
  <c r="O29" i="69"/>
  <c r="O30" i="69"/>
  <c r="O31" i="69"/>
  <c r="O32" i="69"/>
  <c r="O33" i="69"/>
  <c r="O34" i="69"/>
  <c r="O36" i="69"/>
  <c r="O37" i="69"/>
  <c r="O39" i="69"/>
  <c r="O41" i="69"/>
  <c r="O43" i="69"/>
  <c r="O45" i="69"/>
  <c r="O46" i="69"/>
  <c r="O47" i="69"/>
  <c r="O48" i="69"/>
  <c r="O49" i="69"/>
  <c r="O50" i="69"/>
  <c r="O51" i="69"/>
  <c r="O52" i="69"/>
  <c r="O53" i="69"/>
  <c r="O54" i="69"/>
  <c r="O55" i="69"/>
  <c r="O56" i="69"/>
  <c r="O57" i="69"/>
  <c r="O58" i="69"/>
  <c r="O59" i="69"/>
  <c r="O60" i="69"/>
  <c r="O61" i="69"/>
  <c r="O62" i="69"/>
  <c r="O63" i="69"/>
  <c r="O64" i="69"/>
  <c r="O65" i="69"/>
  <c r="O66" i="69"/>
  <c r="O67" i="69"/>
  <c r="O68" i="69"/>
  <c r="O69" i="69"/>
  <c r="O70" i="69"/>
  <c r="O71" i="69"/>
  <c r="O72" i="69"/>
  <c r="O73" i="69"/>
  <c r="O74" i="69"/>
  <c r="O75" i="69"/>
  <c r="O76" i="69"/>
  <c r="O77" i="69"/>
  <c r="O78" i="69"/>
  <c r="O79" i="69"/>
  <c r="O80" i="69"/>
  <c r="O81" i="69"/>
  <c r="O82" i="69"/>
  <c r="O83" i="69"/>
  <c r="O84" i="69"/>
  <c r="O85" i="69"/>
  <c r="O86" i="69"/>
  <c r="O87" i="69"/>
  <c r="O88" i="69"/>
  <c r="O89" i="69"/>
  <c r="O90" i="69"/>
  <c r="O91" i="69"/>
  <c r="O92" i="69"/>
  <c r="O93" i="69"/>
  <c r="O94" i="69"/>
  <c r="O95" i="69"/>
  <c r="O96" i="69"/>
  <c r="O97" i="69"/>
  <c r="O98" i="69"/>
  <c r="O99" i="69"/>
  <c r="O100" i="69"/>
  <c r="O101" i="69"/>
  <c r="O102" i="69"/>
  <c r="O103" i="69"/>
  <c r="O104" i="69"/>
  <c r="G6" i="73"/>
  <c r="G7" i="73"/>
  <c r="N17" i="73"/>
  <c r="N18" i="73"/>
  <c r="N19" i="73"/>
  <c r="N20" i="73"/>
  <c r="N21" i="73"/>
  <c r="N22" i="73"/>
  <c r="N23" i="73"/>
  <c r="N24" i="73"/>
  <c r="N25" i="73"/>
  <c r="N26" i="73"/>
  <c r="N27" i="73"/>
  <c r="N28" i="73"/>
  <c r="N29" i="73"/>
  <c r="N30" i="73"/>
  <c r="V11" i="69"/>
  <c r="V12" i="69"/>
  <c r="V14" i="69"/>
  <c r="V15" i="69"/>
  <c r="V16" i="69"/>
  <c r="V17" i="69"/>
  <c r="V18" i="69"/>
  <c r="V19" i="69"/>
  <c r="V20" i="69"/>
  <c r="V21" i="69"/>
  <c r="V22" i="69"/>
  <c r="V23" i="69"/>
  <c r="V24" i="69"/>
  <c r="V25" i="69"/>
  <c r="V26" i="69"/>
  <c r="V27" i="69"/>
  <c r="V28" i="69"/>
  <c r="V29" i="69"/>
  <c r="V30" i="69"/>
  <c r="V31" i="69"/>
  <c r="V32" i="69"/>
  <c r="V33" i="69"/>
  <c r="V34" i="69"/>
  <c r="V36" i="69"/>
  <c r="V37" i="69"/>
  <c r="V39" i="69"/>
  <c r="V41" i="69"/>
  <c r="V43" i="69"/>
  <c r="V45" i="69"/>
  <c r="V46" i="69"/>
  <c r="V47" i="69"/>
  <c r="V48" i="69"/>
  <c r="V49" i="69"/>
  <c r="V50" i="69"/>
  <c r="V51" i="69"/>
  <c r="V52" i="69"/>
  <c r="V53" i="69"/>
  <c r="V54" i="69"/>
  <c r="V55" i="69"/>
  <c r="V56" i="69"/>
  <c r="V57" i="69"/>
  <c r="V58" i="69"/>
  <c r="V59" i="69"/>
  <c r="V60" i="69"/>
  <c r="V61" i="69"/>
  <c r="V62" i="69"/>
  <c r="V63" i="69"/>
  <c r="V64" i="69"/>
  <c r="V65" i="69"/>
  <c r="V66" i="69"/>
  <c r="V67" i="69"/>
  <c r="V68" i="69"/>
  <c r="V69" i="69"/>
  <c r="V70" i="69"/>
  <c r="V71" i="69"/>
  <c r="V72" i="69"/>
  <c r="V73" i="69"/>
  <c r="V74" i="69"/>
  <c r="V75" i="69"/>
  <c r="V76" i="69"/>
  <c r="V77" i="69"/>
  <c r="V78" i="69"/>
  <c r="V79" i="69"/>
  <c r="V80" i="69"/>
  <c r="V81" i="69"/>
  <c r="V82" i="69"/>
  <c r="V83" i="69"/>
  <c r="V84" i="69"/>
  <c r="V85" i="69"/>
  <c r="V86" i="69"/>
  <c r="V87" i="69"/>
  <c r="V88" i="69"/>
  <c r="V89" i="69"/>
  <c r="V90" i="69"/>
  <c r="V91" i="69"/>
  <c r="V92" i="69"/>
  <c r="V93" i="69"/>
  <c r="V94" i="69"/>
  <c r="V95" i="69"/>
  <c r="V96" i="69"/>
  <c r="V97" i="69"/>
  <c r="V98" i="69"/>
  <c r="V99" i="69"/>
  <c r="V100" i="69"/>
  <c r="V101" i="69"/>
  <c r="V102" i="69"/>
  <c r="V103" i="69"/>
  <c r="V104" i="69"/>
  <c r="W74" i="69" l="1"/>
  <c r="W73" i="69"/>
  <c r="W75" i="69"/>
  <c r="H11" i="36"/>
  <c r="W30" i="69"/>
  <c r="W77" i="69"/>
  <c r="W29" i="69"/>
  <c r="W54" i="69"/>
  <c r="W28" i="69"/>
  <c r="W53" i="69"/>
  <c r="W27" i="69"/>
  <c r="W31" i="69"/>
  <c r="W26" i="69"/>
  <c r="W51" i="69"/>
  <c r="W24" i="69"/>
  <c r="W52" i="69"/>
  <c r="W25" i="69"/>
  <c r="W23" i="69"/>
  <c r="W33" i="69"/>
  <c r="W32" i="69"/>
  <c r="W103" i="69"/>
  <c r="W97" i="69"/>
  <c r="W96" i="69"/>
  <c r="W95" i="69"/>
  <c r="W94" i="69"/>
  <c r="W93" i="69"/>
  <c r="W98" i="69"/>
  <c r="W102" i="69"/>
  <c r="W101" i="69"/>
  <c r="W100" i="69"/>
  <c r="W99" i="69"/>
  <c r="W81" i="69"/>
  <c r="W80" i="69"/>
  <c r="W76" i="69"/>
  <c r="W89" i="69"/>
  <c r="W69" i="69"/>
  <c r="W39" i="69"/>
  <c r="W79" i="69"/>
  <c r="W78" i="69"/>
  <c r="W92" i="69"/>
  <c r="W72" i="69"/>
  <c r="W50" i="69"/>
  <c r="W91" i="69"/>
  <c r="W49" i="69"/>
  <c r="W90" i="69"/>
  <c r="W70" i="69"/>
  <c r="W48" i="69"/>
  <c r="W37" i="69"/>
  <c r="W36" i="69"/>
  <c r="W34" i="69"/>
  <c r="W68" i="69"/>
  <c r="W88" i="69"/>
  <c r="W45" i="69"/>
  <c r="W87" i="69"/>
  <c r="W41" i="69"/>
  <c r="W85" i="69"/>
  <c r="W56" i="69"/>
  <c r="W55" i="69"/>
  <c r="W66" i="69"/>
  <c r="W67" i="69"/>
  <c r="W46" i="69"/>
  <c r="W65" i="69"/>
  <c r="W104" i="69"/>
  <c r="W86" i="69"/>
  <c r="W64" i="69"/>
  <c r="W63" i="69"/>
  <c r="W84" i="69"/>
  <c r="W62" i="69"/>
  <c r="W83" i="69"/>
  <c r="W61" i="69"/>
  <c r="W82" i="69"/>
  <c r="W60" i="69"/>
  <c r="W59" i="69"/>
  <c r="W58" i="69"/>
  <c r="W57" i="69"/>
  <c r="W71" i="69" l="1"/>
  <c r="W43" i="69"/>
  <c r="W47" i="69"/>
  <c r="N13" i="73" l="1"/>
  <c r="D24" i="36"/>
  <c r="D10" i="36" l="1"/>
  <c r="D16" i="36" s="1"/>
  <c r="D17" i="36" s="1"/>
  <c r="F22" i="36" s="1"/>
  <c r="H22" i="36" s="1"/>
  <c r="I4" i="69" a="1"/>
  <c r="I4" i="69" s="1"/>
  <c r="P14" i="36"/>
  <c r="J14" i="36"/>
  <c r="D14" i="36"/>
  <c r="N15" i="73"/>
  <c r="N12" i="73"/>
  <c r="W21" i="69"/>
  <c r="W17" i="69"/>
  <c r="W12" i="69"/>
  <c r="B10" i="36" a="1"/>
  <c r="B10" i="36" s="1"/>
  <c r="W19" i="69" l="1"/>
  <c r="N16" i="73"/>
  <c r="N14" i="73"/>
  <c r="N11" i="73"/>
  <c r="D7" i="75" a="1"/>
  <c r="D7" i="75" s="1"/>
  <c r="H10" i="36"/>
  <c r="H9" i="36"/>
  <c r="H8" i="36"/>
  <c r="H7" i="36"/>
  <c r="H6" i="36"/>
  <c r="H5" i="36"/>
  <c r="D11" i="36"/>
  <c r="J16" i="36" s="1"/>
  <c r="J17" i="36" s="1"/>
  <c r="D12" i="36"/>
  <c r="P16" i="36" s="1"/>
  <c r="P17" i="36" s="1"/>
  <c r="R23" i="36" l="1"/>
  <c r="R22" i="36"/>
  <c r="R27" i="36"/>
  <c r="L27" i="36"/>
  <c r="L23" i="36"/>
  <c r="L22" i="36"/>
  <c r="F27" i="36"/>
  <c r="F24" i="36"/>
  <c r="F23" i="36"/>
  <c r="W22" i="69"/>
  <c r="W20" i="69"/>
  <c r="W18" i="69"/>
  <c r="N10" i="73" l="1"/>
  <c r="T7" i="69"/>
  <c r="L6" i="73" s="1"/>
  <c r="Q7" i="69"/>
  <c r="I6" i="73" s="1"/>
  <c r="P7" i="69"/>
  <c r="H6" i="73" s="1"/>
  <c r="P10" i="73" a="1"/>
  <c r="P10" i="73" s="1"/>
  <c r="J28" i="36"/>
  <c r="J25" i="36"/>
  <c r="L25" i="36" s="1"/>
  <c r="J24" i="36"/>
  <c r="L24" i="36" s="1"/>
  <c r="P20" i="36"/>
  <c r="J20" i="36"/>
  <c r="D20" i="36"/>
  <c r="P30" i="36"/>
  <c r="P28" i="36"/>
  <c r="P25" i="36"/>
  <c r="R25" i="36" s="1"/>
  <c r="P24" i="36"/>
  <c r="R24" i="36" s="1"/>
  <c r="J30" i="36"/>
  <c r="D28" i="36"/>
  <c r="D25" i="36"/>
  <c r="F25" i="36" s="1"/>
  <c r="C25" i="36"/>
  <c r="C24" i="36"/>
  <c r="C28" i="36"/>
  <c r="D30" i="36"/>
  <c r="P29" i="36" l="1"/>
  <c r="R29" i="36" s="1"/>
  <c r="R28" i="36"/>
  <c r="J29" i="36"/>
  <c r="L29" i="36" s="1"/>
  <c r="L28" i="36"/>
  <c r="D29" i="36"/>
  <c r="F29" i="36" s="1"/>
  <c r="F28" i="36"/>
  <c r="G28" i="36"/>
  <c r="C5" i="74"/>
  <c r="C6" i="74"/>
  <c r="C7" i="74"/>
  <c r="V7" i="69"/>
  <c r="N6" i="73" s="1"/>
  <c r="J26" i="36"/>
  <c r="L26" i="36" s="1"/>
  <c r="P26" i="36"/>
  <c r="R26" i="36" s="1"/>
  <c r="D26" i="36"/>
  <c r="F26" i="36" s="1"/>
  <c r="G29" i="36"/>
  <c r="G27" i="36" l="1"/>
  <c r="G23" i="36"/>
  <c r="M26" i="36"/>
  <c r="M28" i="36"/>
  <c r="M24" i="36"/>
  <c r="M22" i="36"/>
  <c r="M29" i="36"/>
  <c r="C30" i="36"/>
  <c r="S26" i="36" l="1"/>
  <c r="W26" i="36" s="1"/>
  <c r="M23" i="36"/>
  <c r="S29" i="36"/>
  <c r="W29" i="36" s="1"/>
  <c r="S22" i="36"/>
  <c r="S24" i="36"/>
  <c r="W24" i="36" s="1"/>
  <c r="S28" i="36"/>
  <c r="S4" i="69"/>
  <c r="K3" i="73" s="1"/>
  <c r="Q4" i="69"/>
  <c r="I3" i="73" s="1"/>
  <c r="U4" i="69"/>
  <c r="M3" i="73" s="1"/>
  <c r="T4" i="69"/>
  <c r="L3" i="73" s="1"/>
  <c r="R4" i="69"/>
  <c r="J3" i="73" s="1"/>
  <c r="M27" i="36"/>
  <c r="C29" i="36"/>
  <c r="C26" i="36"/>
  <c r="W22" i="36" l="1"/>
  <c r="S23" i="36"/>
  <c r="W23" i="36" s="1"/>
  <c r="W28" i="36"/>
  <c r="W25" i="36"/>
  <c r="S27" i="36"/>
  <c r="P4" i="69"/>
  <c r="M30" i="36"/>
  <c r="G30" i="36"/>
  <c r="K29" i="36" l="1"/>
  <c r="K28" i="36"/>
  <c r="K27" i="36"/>
  <c r="K25" i="36"/>
  <c r="K24" i="36"/>
  <c r="K22" i="36"/>
  <c r="K26" i="36"/>
  <c r="K23" i="36"/>
  <c r="E29" i="36"/>
  <c r="E28" i="36"/>
  <c r="E27" i="36"/>
  <c r="E26" i="36"/>
  <c r="E25" i="36"/>
  <c r="E24" i="36"/>
  <c r="E22" i="36"/>
  <c r="E23" i="36"/>
  <c r="W27" i="36"/>
  <c r="W30" i="36" s="1"/>
  <c r="V4" i="69"/>
  <c r="Q5" i="69" s="1"/>
  <c r="S30" i="36"/>
  <c r="D15" i="74"/>
  <c r="E15" i="74" s="1"/>
  <c r="D11" i="74"/>
  <c r="E11" i="74" s="1"/>
  <c r="D6" i="74"/>
  <c r="E6" i="74" s="1"/>
  <c r="D16" i="74"/>
  <c r="E16" i="74" s="1"/>
  <c r="D10" i="74"/>
  <c r="E10" i="74" s="1"/>
  <c r="D5" i="74"/>
  <c r="E5" i="74" s="1"/>
  <c r="D17" i="74"/>
  <c r="E17" i="74" s="1"/>
  <c r="D12" i="74"/>
  <c r="E12" i="74" s="1"/>
  <c r="D7" i="74"/>
  <c r="E7" i="74" s="1"/>
  <c r="H3" i="73"/>
  <c r="Z24" i="36" l="1"/>
  <c r="Z25" i="36"/>
  <c r="Z26" i="36"/>
  <c r="Q29" i="36"/>
  <c r="Q24" i="36"/>
  <c r="Q23" i="36"/>
  <c r="Q28" i="36"/>
  <c r="Q27" i="36"/>
  <c r="Q26" i="36"/>
  <c r="Q25" i="36"/>
  <c r="Q22" i="36"/>
  <c r="N3" i="73"/>
  <c r="P5" i="69"/>
  <c r="H4" i="73" s="1"/>
  <c r="Z27" i="36"/>
  <c r="Z23" i="36"/>
  <c r="Z28" i="36"/>
  <c r="Z29" i="36"/>
  <c r="Z22" i="36"/>
  <c r="W11" i="69"/>
  <c r="W16" i="69"/>
  <c r="W15" i="69"/>
  <c r="W14" i="69"/>
  <c r="Z30" i="36" l="1"/>
  <c r="T29" i="36" l="1"/>
  <c r="T28" i="36"/>
  <c r="T27" i="36"/>
  <c r="T26" i="36"/>
  <c r="T25" i="36"/>
  <c r="T24" i="36"/>
  <c r="T23" i="36"/>
  <c r="H29" i="36"/>
  <c r="H25" i="36"/>
  <c r="N26" i="36"/>
  <c r="N25" i="36"/>
  <c r="N24" i="36"/>
  <c r="N23" i="36"/>
  <c r="N29" i="36"/>
  <c r="N28" i="36"/>
  <c r="N27" i="36"/>
  <c r="V27" i="36" l="1"/>
  <c r="V28" i="36"/>
  <c r="X29" i="36"/>
  <c r="X25" i="36"/>
  <c r="H27" i="36"/>
  <c r="T8" i="69" s="1"/>
  <c r="V22" i="36"/>
  <c r="H23" i="36"/>
  <c r="Q8" i="69" s="1"/>
  <c r="V23" i="36"/>
  <c r="V24" i="36"/>
  <c r="H26" i="36"/>
  <c r="X26" i="36" s="1"/>
  <c r="V26" i="36"/>
  <c r="V25" i="36"/>
  <c r="H24" i="36"/>
  <c r="X24" i="36" s="1"/>
  <c r="H28" i="36"/>
  <c r="X28" i="36" s="1"/>
  <c r="V29" i="36"/>
  <c r="R30" i="36"/>
  <c r="T22" i="36"/>
  <c r="T30" i="36" s="1"/>
  <c r="L30" i="36"/>
  <c r="N22" i="36"/>
  <c r="N30" i="36" l="1"/>
  <c r="P8" i="69"/>
  <c r="H7" i="73" s="1"/>
  <c r="X27" i="36"/>
  <c r="X23" i="36"/>
  <c r="I7" i="73"/>
  <c r="V30" i="36"/>
  <c r="Y25" i="36" s="1"/>
  <c r="H30" i="36"/>
  <c r="X22" i="36"/>
  <c r="F30" i="36"/>
  <c r="K30" i="36" l="1"/>
  <c r="Q30" i="36"/>
  <c r="V8" i="69"/>
  <c r="N7" i="73" s="1"/>
  <c r="L7" i="73"/>
  <c r="Y23" i="36"/>
  <c r="X30" i="36"/>
  <c r="Y28" i="36"/>
  <c r="Y27" i="36"/>
  <c r="Y29" i="36"/>
  <c r="Y26" i="36"/>
  <c r="Y24" i="36"/>
  <c r="Y22" i="36"/>
  <c r="E30" i="36" l="1"/>
  <c r="Y30" i="36"/>
  <c r="H12" i="36" l="1"/>
  <c r="U5" i="69" l="1"/>
  <c r="M4" i="73" s="1"/>
  <c r="I4" i="73"/>
  <c r="P6" i="69" l="1"/>
  <c r="H5" i="73" s="1"/>
  <c r="R5" i="69"/>
  <c r="S5" i="69"/>
  <c r="K4" i="73" s="1"/>
  <c r="T5" i="69"/>
  <c r="J4" i="73" l="1"/>
  <c r="Q6" i="69"/>
  <c r="T6" i="69"/>
  <c r="L5" i="73" s="1"/>
  <c r="L4" i="73"/>
  <c r="V5" i="69"/>
  <c r="N4" i="73" s="1"/>
  <c r="V6" i="69" l="1"/>
  <c r="N5" i="73" s="1"/>
  <c r="I5" i="7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tc={40A56468-897C-4FD3-AB66-1191EE526A4D}</author>
    <author>James Piekut</author>
  </authors>
  <commentList>
    <comment ref="K58" authorId="0" shapeId="0" xr:uid="{40A56468-897C-4FD3-AB66-1191EE526A4D}">
      <text>
        <t xml:space="preserve">[Threaded comment]
Your version of Excel allows you to read this threaded comment; however, any edits to it will get removed if the file is opened in a newer version of Excel. Learn more: https://go.microsoft.com/fwlink/?linkid=870924
Comment:
    Flagging that counties can’t just access PR if they need it. They still have to adhere to current PR rules. </t>
      </text>
    </comment>
    <comment ref="F59" authorId="1" shapeId="0" xr:uid="{EB214C7B-4D90-4DF8-BA0D-A41C3C571DB7}">
      <text>
        <r>
          <rPr>
            <sz val="9"/>
            <color indexed="81"/>
            <rFont val="Tahoma"/>
            <family val="2"/>
          </rPr>
          <t>State's default component allocation</t>
        </r>
      </text>
    </comment>
    <comment ref="G59" authorId="1" shapeId="0" xr:uid="{00D6020C-4685-436D-A0CB-F5F61B3CD090}">
      <text>
        <r>
          <rPr>
            <sz val="9"/>
            <color indexed="81"/>
            <rFont val="Tahoma"/>
            <family val="2"/>
          </rPr>
          <t>Your county's target which reflects your planned transfers, if any</t>
        </r>
      </text>
    </comment>
    <comment ref="H59" authorId="1" shapeId="0" xr:uid="{A6253DFA-11F1-47BB-86A6-85478D969B7E}">
      <text>
        <r>
          <rPr>
            <sz val="9"/>
            <color indexed="81"/>
            <rFont val="Tahoma"/>
            <family val="2"/>
          </rPr>
          <t>The measured allocation based on your entries in the [Baseline] and [Incremental] tabs (see $'s summarized 2 columns to the right)</t>
        </r>
      </text>
    </comment>
    <comment ref="I59" authorId="1" shapeId="0" xr:uid="{9EA28F6C-4280-45C3-9F3B-D1085DA1ACB4}">
      <text>
        <r>
          <rPr>
            <sz val="9"/>
            <color indexed="81"/>
            <rFont val="Tahoma"/>
            <family val="2"/>
          </rPr>
          <t>Your revenue expectation based on historical revenue and an assumed revenue growth rate.</t>
        </r>
      </text>
    </comment>
    <comment ref="J59" authorId="1" shapeId="0" xr:uid="{C3FB6F85-0D49-4A71-A6E8-EE0DE62D9FC6}">
      <text>
        <r>
          <rPr>
            <sz val="9"/>
            <color indexed="81"/>
            <rFont val="Tahoma"/>
            <family val="2"/>
          </rPr>
          <t>Your expected net expenses based on your entries in the [Baseline] and [Incremental] tabs, trended forward by your expected growth in expenses.</t>
        </r>
      </text>
    </comment>
    <comment ref="K59" authorId="1" shapeId="0" xr:uid="{B6CFB98B-096C-4B47-9511-37B909617575}">
      <text>
        <r>
          <rPr>
            <sz val="9"/>
            <color indexed="81"/>
            <rFont val="Tahoma"/>
            <family val="2"/>
          </rPr>
          <t>The difference between your revenue projection and your inputted net expenses will need to be covered by prudent reserve.  A negative is a withdrawal from the local BHSA trust fund or Prudent Reserve (if allowable), and a positive number is a contribution.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<sst xmlns="http://schemas.openxmlformats.org/spreadsheetml/2006/main" count="981" uniqueCount="340">
  <si>
    <r>
      <t xml:space="preserve">1) If needed, update the years in the FY column in the tables below.  </t>
    </r>
    <r>
      <rPr>
        <b/>
        <u/>
        <sz val="12"/>
        <color theme="1"/>
        <rFont val="Arial"/>
        <family val="2"/>
      </rPr>
      <t>Do not</t>
    </r>
    <r>
      <rPr>
        <b/>
        <sz val="12"/>
        <color theme="1"/>
        <rFont val="Arial"/>
        <family val="2"/>
      </rPr>
      <t xml:space="preserve"> change the Period Name entries.</t>
    </r>
  </si>
  <si>
    <t>Use this table to identify your baseline (i.e., the most recent budget you have) and the 3 future years you'd like to project.</t>
  </si>
  <si>
    <t>Period Name</t>
  </si>
  <si>
    <t>FY</t>
  </si>
  <si>
    <t>Leave this alone!</t>
  </si>
  <si>
    <t>Description</t>
  </si>
  <si>
    <t>Baseline</t>
  </si>
  <si>
    <t>25-26</t>
  </si>
  <si>
    <t>25-26 is currently entered; the assumption being the user wishes to model BHSA year 1 using it's 25-26 MHSA budget as the baseline</t>
  </si>
  <si>
    <t>Proj 1</t>
  </si>
  <si>
    <t>26-27</t>
  </si>
  <si>
    <t>26-27 is currently entered as this is year 1 of the first BHSA 3-year plan period</t>
  </si>
  <si>
    <t>Proj 2</t>
  </si>
  <si>
    <t>27-28</t>
  </si>
  <si>
    <t>This is year 2</t>
  </si>
  <si>
    <t>Proj 3</t>
  </si>
  <si>
    <t>28-29</t>
  </si>
  <si>
    <t>This is year 3</t>
  </si>
  <si>
    <t>Use this table to the 5 years of historical revenues from the state.  The most recent year could be a projection.</t>
  </si>
  <si>
    <t>Historical 5</t>
  </si>
  <si>
    <t>21-22</t>
  </si>
  <si>
    <t>21-22 is currently entered; the assumption being the user wishes to forecast revenues using prior fiscal years in chronological order, 21-22 being the fifth year back</t>
  </si>
  <si>
    <t>Historical 4</t>
  </si>
  <si>
    <t>22-23</t>
  </si>
  <si>
    <t>…. 4th ….</t>
  </si>
  <si>
    <t>Historical 3</t>
  </si>
  <si>
    <t>23-24</t>
  </si>
  <si>
    <t>…. 3rd ….</t>
  </si>
  <si>
    <t>Historical 2</t>
  </si>
  <si>
    <t>24-25</t>
  </si>
  <si>
    <t>…. 2nd ….</t>
  </si>
  <si>
    <t>Historical 1</t>
  </si>
  <si>
    <t>…. 1st …. (projection will be used for the current year; recommend using the most recent CBHDA sponsored Behavioral Health Service Fund forecast)</t>
  </si>
  <si>
    <t>2) Go to the [Annual BHSA Revenues] tab and populate all</t>
  </si>
  <si>
    <t>yellow</t>
  </si>
  <si>
    <t>cells</t>
  </si>
  <si>
    <t>Further information on the yellow cells is provided in pop-up boxes that appear when the cell is selected</t>
  </si>
  <si>
    <t>Red cells need to be fixed!  If you see red cells in the [Annual BHSA Revenues] tab it means your Target Allocations ≠ 100% or your Analyst Input Allocation is within the window allowed by BHSA</t>
  </si>
  <si>
    <t>Refer to BHSA Policy Manual CH 7.C.6. for full transfer limitations.</t>
  </si>
  <si>
    <t>3) Fully populate the blue and white table in the [Baseline] tab with your most recent MHSA budget.</t>
  </si>
  <si>
    <r>
      <t xml:space="preserve">- </t>
    </r>
    <r>
      <rPr>
        <b/>
        <sz val="12"/>
        <color theme="1"/>
        <rFont val="Arial"/>
        <family val="2"/>
      </rPr>
      <t>Sector</t>
    </r>
    <r>
      <rPr>
        <sz val="12"/>
        <color theme="1"/>
        <rFont val="Arial"/>
        <family val="2"/>
      </rPr>
      <t xml:space="preserve"> Select whether the budget you are entering is a county or contractor cost center.</t>
    </r>
  </si>
  <si>
    <r>
      <t xml:space="preserve">- </t>
    </r>
    <r>
      <rPr>
        <b/>
        <sz val="12"/>
        <color theme="1"/>
        <rFont val="Arial"/>
        <family val="2"/>
      </rPr>
      <t xml:space="preserve">SFY </t>
    </r>
    <r>
      <rPr>
        <sz val="12"/>
        <color theme="1"/>
        <rFont val="Arial"/>
        <family val="2"/>
      </rPr>
      <t>This will populate automatically to be the fiscal year selected as your baseline above.</t>
    </r>
  </si>
  <si>
    <r>
      <t xml:space="preserve">- </t>
    </r>
    <r>
      <rPr>
        <b/>
        <sz val="12"/>
        <color theme="1"/>
        <rFont val="Arial"/>
        <family val="2"/>
      </rPr>
      <t xml:space="preserve">Cost Center </t>
    </r>
    <r>
      <rPr>
        <sz val="12"/>
        <color theme="1"/>
        <rFont val="Arial"/>
        <family val="2"/>
      </rPr>
      <t>Enter the naming convention for the budgeted activity (i.e. County Cost Center 001, or CBO BH Clinic,). These titles should align with county conventions to ease cross-referencing across files.</t>
    </r>
  </si>
  <si>
    <r>
      <t xml:space="preserve">- </t>
    </r>
    <r>
      <rPr>
        <b/>
        <sz val="12"/>
        <color theme="1"/>
        <rFont val="Arial"/>
        <family val="2"/>
      </rPr>
      <t>Hidden columns (optional):</t>
    </r>
    <r>
      <rPr>
        <sz val="12"/>
        <color theme="1"/>
        <rFont val="Arial"/>
        <family val="2"/>
      </rPr>
      <t xml:space="preserve"> Click "+" above columns and see notes at the top of the columns.</t>
    </r>
  </si>
  <si>
    <r>
      <t xml:space="preserve">- </t>
    </r>
    <r>
      <rPr>
        <b/>
        <sz val="12"/>
        <color theme="1"/>
        <rFont val="Arial"/>
        <family val="2"/>
      </rPr>
      <t xml:space="preserve">Comments </t>
    </r>
    <r>
      <rPr>
        <sz val="12"/>
        <color theme="1"/>
        <rFont val="Arial"/>
        <family val="2"/>
      </rPr>
      <t>This documents the approach to translating between the MHSA and BHSA allocations.  The hidden columns support this column.</t>
    </r>
  </si>
  <si>
    <r>
      <rPr>
        <b/>
        <sz val="12"/>
        <color theme="1"/>
        <rFont val="Arial"/>
        <family val="2"/>
      </rPr>
      <t xml:space="preserve">- Revenue (Y/N) </t>
    </r>
    <r>
      <rPr>
        <sz val="12"/>
        <color theme="1"/>
        <rFont val="Arial"/>
        <family val="2"/>
      </rPr>
      <t>Documents whether the row represents revenue (Y) or expense (N).</t>
    </r>
  </si>
  <si>
    <r>
      <t xml:space="preserve">- </t>
    </r>
    <r>
      <rPr>
        <b/>
        <sz val="12"/>
        <color theme="1"/>
        <rFont val="Arial"/>
        <family val="2"/>
      </rPr>
      <t xml:space="preserve">CSS: FSP -&gt; WET </t>
    </r>
    <r>
      <rPr>
        <sz val="12"/>
        <color theme="1"/>
        <rFont val="Arial"/>
        <family val="2"/>
      </rPr>
      <t>These columns store the expense or revenue amounts corresponding to these MHSA categories.  Enter revenues as negative and expenses as positive.</t>
    </r>
  </si>
  <si>
    <r>
      <t xml:space="preserve">- </t>
    </r>
    <r>
      <rPr>
        <b/>
        <sz val="12"/>
        <color theme="1"/>
        <rFont val="Arial"/>
        <family val="2"/>
      </rPr>
      <t xml:space="preserve">MHSA Total </t>
    </r>
    <r>
      <rPr>
        <sz val="12"/>
        <color theme="1"/>
        <rFont val="Arial"/>
        <family val="2"/>
      </rPr>
      <t>Total of the columns to its left.  This amount will automatically populate.</t>
    </r>
  </si>
  <si>
    <r>
      <t xml:space="preserve">- </t>
    </r>
    <r>
      <rPr>
        <b/>
        <sz val="12"/>
        <color theme="1"/>
        <rFont val="Arial"/>
        <family val="2"/>
      </rPr>
      <t xml:space="preserve">FSP -&gt; Housing - Homeless </t>
    </r>
    <r>
      <rPr>
        <sz val="12"/>
        <color theme="1"/>
        <rFont val="Arial"/>
        <family val="2"/>
      </rPr>
      <t>These columns store the expense or revenue amounts corresponding to these BHSA categories.  Enter revenues as negative and expenses as positive.</t>
    </r>
  </si>
  <si>
    <r>
      <rPr>
        <b/>
        <sz val="12"/>
        <color theme="1"/>
        <rFont val="Arial"/>
        <family val="2"/>
      </rPr>
      <t xml:space="preserve">- BHSA Total </t>
    </r>
    <r>
      <rPr>
        <sz val="12"/>
        <color theme="1"/>
        <rFont val="Arial"/>
        <family val="2"/>
      </rPr>
      <t>Total of the columns to its left.  This amount will automatically populate.</t>
    </r>
  </si>
  <si>
    <r>
      <rPr>
        <b/>
        <sz val="12"/>
        <color theme="1"/>
        <rFont val="Arial"/>
        <family val="2"/>
      </rPr>
      <t>- Balance (MHSA-BHSA)</t>
    </r>
    <r>
      <rPr>
        <sz val="12"/>
        <color theme="1"/>
        <rFont val="Arial"/>
        <family val="2"/>
      </rPr>
      <t xml:space="preserve"> This field is calculated automatically.  A value of 0 represents that all MHSA expenses were translated to BHSA.  A positive value means some expenses were not carried over to BHSA.</t>
    </r>
  </si>
  <si>
    <t>4) Fully populate the dark blue and light blue table in the [Incremental] tab.</t>
  </si>
  <si>
    <t>This tab allows the user to add in expenses in future years (Proj 1, Proj 2 or Proj 3) that aren't included in the Baseline year.  This tab is optional, and is not needed if the user is comfortable rolling forward the</t>
  </si>
  <si>
    <t>baseline expenses with trend in the [Annual BHSA Revenues] tab.  Regardless of whether this tab is utilized, the Baseline expenses will carry forward, and any entries in the [Incremental] tab will layer on top.</t>
  </si>
  <si>
    <t>This tab is structured like the baseline tab with the following exceptions:</t>
  </si>
  <si>
    <t>a) There are no MHSA columns, since this tab only pertains to future years.</t>
  </si>
  <si>
    <t>b) There is a column to specify whether a cost center is new.  If it's not new, the cost center will highlight red if you have not listed that cost center verbatim on the Baseline tab.</t>
  </si>
  <si>
    <t>5) Review final 26-27 results in [Annual BHSA Revenue] tab.</t>
  </si>
  <si>
    <t>a) See the comments below for interpreting each field:</t>
  </si>
  <si>
    <t>BHSA Allocation Category</t>
  </si>
  <si>
    <t>Default Allocation</t>
  </si>
  <si>
    <t>Target Allocation</t>
  </si>
  <si>
    <t>Analyst Input Allocation</t>
  </si>
  <si>
    <t>Target Budget</t>
  </si>
  <si>
    <t>Analyst Input Budget</t>
  </si>
  <si>
    <t>Over/(Under) Target Budget</t>
  </si>
  <si>
    <t>FSP 35%</t>
  </si>
  <si>
    <t>BHSS 35%</t>
  </si>
  <si>
    <t>Minimum 51% of BHSS to Early Intervention</t>
  </si>
  <si>
    <t>Minimum 51% of EI to age &lt;25</t>
  </si>
  <si>
    <t>Remaining BHSS % for Other Svcs</t>
  </si>
  <si>
    <t>Housing 30%</t>
  </si>
  <si>
    <t>Minimum 50% to Chronically Homeless</t>
  </si>
  <si>
    <t>Remaining %</t>
  </si>
  <si>
    <t>Total</t>
  </si>
  <si>
    <t>Projected Unspent MHSA Funding</t>
  </si>
  <si>
    <t>FSP</t>
  </si>
  <si>
    <t>FY2025/26 MHSA Budget</t>
  </si>
  <si>
    <t>Transfer Limitations</t>
  </si>
  <si>
    <t>BHSS</t>
  </si>
  <si>
    <t>Component</t>
  </si>
  <si>
    <t>Budget</t>
  </si>
  <si>
    <t>Major Categories</t>
  </si>
  <si>
    <t>Max Xfer From a Component</t>
  </si>
  <si>
    <t>Housing</t>
  </si>
  <si>
    <t>CSS: FSP</t>
  </si>
  <si>
    <t>Max Xfer Into a Component</t>
  </si>
  <si>
    <t>CSS: GSD</t>
  </si>
  <si>
    <t>Sub Categories Requirements</t>
  </si>
  <si>
    <t>Early Intervention (E.I.) Min.</t>
  </si>
  <si>
    <t>County Allocation</t>
  </si>
  <si>
    <t>PEI</t>
  </si>
  <si>
    <t>E.I. &lt; 25 Min. of total E.I.</t>
  </si>
  <si>
    <t>Statewide &amp; County Revenue Forecast Method</t>
  </si>
  <si>
    <t>INN</t>
  </si>
  <si>
    <t>H.I. Chron. Unhoused Min.</t>
  </si>
  <si>
    <t>Statewide</t>
  </si>
  <si>
    <t>County</t>
  </si>
  <si>
    <t>CFTN</t>
  </si>
  <si>
    <t>WET</t>
  </si>
  <si>
    <t>Revenue</t>
  </si>
  <si>
    <t>Total MHSA</t>
  </si>
  <si>
    <t>Expense Growth vs. Previous FY</t>
  </si>
  <si>
    <t>Starting Revenue Budget</t>
  </si>
  <si>
    <t>Planned BHSA Trust Fund Pull</t>
  </si>
  <si>
    <r>
      <rPr>
        <sz val="11"/>
        <rFont val="Calibri"/>
        <family val="2"/>
        <scheme val="minor"/>
      </rPr>
      <t xml:space="preserve">Note: Cells that become highlighted in </t>
    </r>
    <r>
      <rPr>
        <b/>
        <sz val="11"/>
        <color rgb="FFFF0000"/>
        <rFont val="Calibri"/>
        <family val="2"/>
        <scheme val="minor"/>
      </rPr>
      <t>Red</t>
    </r>
    <r>
      <rPr>
        <sz val="11"/>
        <rFont val="Calibri"/>
        <family val="2"/>
        <scheme val="minor"/>
      </rPr>
      <t xml:space="preserve"> need to be fixed!  If you see red cells below, make sure your Target Allocation and subcomponent totals meet BHSA requirements.</t>
    </r>
  </si>
  <si>
    <t>3-Year Total</t>
  </si>
  <si>
    <t>Over/(Under) Proj. BHSA Rev.</t>
  </si>
  <si>
    <t>Over/(Under) BHSA Proj. Rev.</t>
  </si>
  <si>
    <t>FY to Select</t>
  </si>
  <si>
    <t>Select</t>
  </si>
  <si>
    <t>BHSS GSD</t>
  </si>
  <si>
    <t>EI</t>
  </si>
  <si>
    <t>EI &lt;25</t>
  </si>
  <si>
    <t>Housing - Homeless</t>
  </si>
  <si>
    <t>Totals</t>
  </si>
  <si>
    <t>x</t>
  </si>
  <si>
    <t>Sub-categories</t>
  </si>
  <si>
    <t>Total expenses</t>
  </si>
  <si>
    <t>Percent balance</t>
  </si>
  <si>
    <t>Major categories</t>
  </si>
  <si>
    <t>Over/Under Target Budget</t>
  </si>
  <si>
    <t>MHSA</t>
  </si>
  <si>
    <t>BHSA</t>
  </si>
  <si>
    <t>Sector</t>
  </si>
  <si>
    <t>SFY</t>
  </si>
  <si>
    <t>Cost Center</t>
  </si>
  <si>
    <t>Fiscal Input</t>
  </si>
  <si>
    <t>Program Input</t>
  </si>
  <si>
    <t>Comments</t>
  </si>
  <si>
    <t>Revenue (Y/N)</t>
  </si>
  <si>
    <t>CSS FSP</t>
  </si>
  <si>
    <t>CSS GSD</t>
  </si>
  <si>
    <t>MHSA Total</t>
  </si>
  <si>
    <t>BHSA Total</t>
  </si>
  <si>
    <t>Not Shifting to BHSA</t>
  </si>
  <si>
    <t>MHSA Administration Cost Center</t>
  </si>
  <si>
    <t>S&amp;Bs split across BHSA components</t>
  </si>
  <si>
    <t>Agree, keep as is</t>
  </si>
  <si>
    <t>All admin costs in BHSA</t>
  </si>
  <si>
    <t>N</t>
  </si>
  <si>
    <t>County Clinics</t>
  </si>
  <si>
    <t>Remove from Baseline, re-enter in 26-27 incremental</t>
  </si>
  <si>
    <t>Agree, formula change needed</t>
  </si>
  <si>
    <t>Clinic moved out, will re-enter 35% of total clinic costs as FSP in 26/27</t>
  </si>
  <si>
    <t>Y</t>
  </si>
  <si>
    <t>MHSA WET Cost Center</t>
  </si>
  <si>
    <t>Move WET S&amp;Bs to GSD</t>
  </si>
  <si>
    <t>Support move, aligns with program goals</t>
  </si>
  <si>
    <t>WET now in GSD</t>
  </si>
  <si>
    <t>MHSA CFTN</t>
  </si>
  <si>
    <t>Move CFTN S&amp;Bs to GSD</t>
  </si>
  <si>
    <t>Agree, fits GSD component</t>
  </si>
  <si>
    <t>CFTN now in GSD</t>
  </si>
  <si>
    <t>Cnty Wellness &amp; Recovery Center</t>
  </si>
  <si>
    <t>20% to Trad., rest split EI/EI 25 &amp; younger</t>
  </si>
  <si>
    <t>Confirmed, 80% remaining is elig. as EI</t>
  </si>
  <si>
    <t>20% Trad., rest EI/EI 25 &amp; younger</t>
  </si>
  <si>
    <t>Client Housing &amp; Housing Supports</t>
  </si>
  <si>
    <t>Move some to Trad. Remaining across FSP &amp; HI</t>
  </si>
  <si>
    <t>Agree, remaining to FSP &amp; Housing Intv</t>
  </si>
  <si>
    <t>Split remainder across FSP &amp; Housing</t>
  </si>
  <si>
    <t>MHSA Prevention &amp; Early Intervention</t>
  </si>
  <si>
    <t>Split S&amp;Bs EI/EI 25 &amp; younger</t>
  </si>
  <si>
    <t>Agree, maintain split</t>
  </si>
  <si>
    <t>EI/EI 25 &amp; younger</t>
  </si>
  <si>
    <t>MHSA INN Project #1</t>
  </si>
  <si>
    <t>INN project ending</t>
  </si>
  <si>
    <t>Noted</t>
  </si>
  <si>
    <t>INN ended, not included</t>
  </si>
  <si>
    <t>MHSA CFTN Project #1</t>
  </si>
  <si>
    <t>72% INN S&amp;Bs to Trad/SUD, rest GSD</t>
  </si>
  <si>
    <t>Support</t>
  </si>
  <si>
    <t>72% Trad/SUD, rest GSD</t>
  </si>
  <si>
    <t>MHSA INN Project #2</t>
  </si>
  <si>
    <t>INN project ending, move costs to GSD</t>
  </si>
  <si>
    <t>Agree, move to GSD</t>
  </si>
  <si>
    <t>INN project ended, costs to GSD</t>
  </si>
  <si>
    <t>MHSA CFTN Project #2</t>
  </si>
  <si>
    <t>72% EHR S&amp;Bs to Trad/SUD, apply remainder to BHSA</t>
  </si>
  <si>
    <t>Confirm, apply the remainder across BHSA</t>
  </si>
  <si>
    <t>72% Trad/SUD, rest FSP/GSD/Housing</t>
  </si>
  <si>
    <t>Contractor</t>
  </si>
  <si>
    <t>MHSA/BHSA Consultant</t>
  </si>
  <si>
    <t>Distribute across FSP/GSD/Housing</t>
  </si>
  <si>
    <t>Agree, matches consultant work</t>
  </si>
  <si>
    <t>Split FSP/GSD/Housing</t>
  </si>
  <si>
    <t>Community Planning Consultant</t>
  </si>
  <si>
    <t>Support, can be applied across components</t>
  </si>
  <si>
    <t>CalMHSA Fiscal Empowerment</t>
  </si>
  <si>
    <t>100% GSD</t>
  </si>
  <si>
    <t>Agree, keep in GSD</t>
  </si>
  <si>
    <t>All in GSD</t>
  </si>
  <si>
    <t>County Clinic Site Alarm Service</t>
  </si>
  <si>
    <t>Support, matches service</t>
  </si>
  <si>
    <t>County Admin Bldg Security Services</t>
  </si>
  <si>
    <t>Agree, matches admin needs</t>
  </si>
  <si>
    <t>MOU with the Superior Courts</t>
  </si>
  <si>
    <t>GSD</t>
  </si>
  <si>
    <t>CBO #1 Flex Funding</t>
  </si>
  <si>
    <t>Agree, keep in FSP</t>
  </si>
  <si>
    <t>All in FSP</t>
  </si>
  <si>
    <t>CBO #2 Flex Funding</t>
  </si>
  <si>
    <t>CBO #3 Flex Funding</t>
  </si>
  <si>
    <t>CBO #4 - Outpatient Children's Services</t>
  </si>
  <si>
    <t>75% to Trad., rest FSP</t>
  </si>
  <si>
    <t>Suggest review, confirm split</t>
  </si>
  <si>
    <t>75% Trad., rest FSP</t>
  </si>
  <si>
    <t>CBO Equine Therapy, Non Billable</t>
  </si>
  <si>
    <t>CBO #1 Field-Based Outpatient</t>
  </si>
  <si>
    <t>20% to Trad., rest FSP/Housing</t>
  </si>
  <si>
    <t>Support, matchs program scope</t>
  </si>
  <si>
    <t>20% Trad., rest FSP/Housing</t>
  </si>
  <si>
    <t>Medi-Cal FFP revenues</t>
  </si>
  <si>
    <t>County Clinic Site Security</t>
  </si>
  <si>
    <t>Split FSP/GSD</t>
  </si>
  <si>
    <t>Agree, matches security needs</t>
  </si>
  <si>
    <t>CBO #1 Mobile Unit &amp; One Stop</t>
  </si>
  <si>
    <t>65% to Trad., rest FSP</t>
  </si>
  <si>
    <t>Support, matches contract</t>
  </si>
  <si>
    <t>65% Trad., rest FSP</t>
  </si>
  <si>
    <t>CBO #2 Mobile Unit &amp; One Stop</t>
  </si>
  <si>
    <t>Agree, matches contract</t>
  </si>
  <si>
    <t>CBO #1 Mobile Crisis Treatment</t>
  </si>
  <si>
    <t xml:space="preserve">Elig. For BHSA but move to Trad. </t>
  </si>
  <si>
    <t>Agree, can be BHSA but better to move out</t>
  </si>
  <si>
    <t>All moved to Traditional funding streams</t>
  </si>
  <si>
    <t>In Home Parent Education, Non Billable</t>
  </si>
  <si>
    <t>EI 25 &amp; younger</t>
  </si>
  <si>
    <t>Agree, keep in EI 25 &amp; younger</t>
  </si>
  <si>
    <t>All in EI 25 &amp; younger</t>
  </si>
  <si>
    <t>CBO #1 Access Line</t>
  </si>
  <si>
    <t>Split FSP/GSD/EI/EI 25 &amp; younger</t>
  </si>
  <si>
    <t>Support, access line applies across these components</t>
  </si>
  <si>
    <t>County Office of Ed, Children Outreach/Early Intervention</t>
  </si>
  <si>
    <t>County Office of Ed, Children's Primary Prevention</t>
  </si>
  <si>
    <t>CBO Prevention Program</t>
  </si>
  <si>
    <t>CBO Youth Early Intervention Program</t>
  </si>
  <si>
    <t>County Office of Ed, Children's Early Intervention</t>
  </si>
  <si>
    <t>CBO Group Therapy, Non Billable</t>
  </si>
  <si>
    <t>35% EI, 65% EI 25 &amp; younger</t>
  </si>
  <si>
    <t>Support, matches service split</t>
  </si>
  <si>
    <t>MHSA Community Event(s) Program</t>
  </si>
  <si>
    <t>CBO #4 Maternal Support Program</t>
  </si>
  <si>
    <t>CBO #4 Child &amp; Family Interaction</t>
  </si>
  <si>
    <t>Agree, matches service split</t>
  </si>
  <si>
    <t>Currently non-billable, will cert. in 26/27: 35% EI, 65% EI 25 &amp; younger</t>
  </si>
  <si>
    <t>MHSA Consultant</t>
  </si>
  <si>
    <t>Training Software</t>
  </si>
  <si>
    <t>CalMHSA Remote Supervision</t>
  </si>
  <si>
    <t>Outreach Event(s) Program</t>
  </si>
  <si>
    <t>CBO #5 Supported Employment</t>
  </si>
  <si>
    <t>Move to fidelity model &amp; budget in FSP</t>
  </si>
  <si>
    <t>Support, aligns with program goals</t>
  </si>
  <si>
    <t>CBO #1 Wellness &amp; Recovery Center</t>
  </si>
  <si>
    <t>CBO #5 Youth Outreach</t>
  </si>
  <si>
    <t>CBO Adult Outreach</t>
  </si>
  <si>
    <t>CBO General Outreach</t>
  </si>
  <si>
    <t>Wellness Center Security Services (N. Cnty)</t>
  </si>
  <si>
    <t>Wellness Center Security Services (S. Cnty)</t>
  </si>
  <si>
    <t>Wellness Center Security Services (C. Cnty)</t>
  </si>
  <si>
    <t>CalMHSA EHR</t>
  </si>
  <si>
    <t>72% to Trad./SUD, rest split</t>
  </si>
  <si>
    <t>Suggest confirm split with program</t>
  </si>
  <si>
    <t>72% Trad./SUD, rest FSP/GSD/Housing</t>
  </si>
  <si>
    <t>BHSA Administrative Support Consultant</t>
  </si>
  <si>
    <t>Agree, matches admin support</t>
  </si>
  <si>
    <t>Transitional Housing Lease &amp; Client Rent Support</t>
  </si>
  <si>
    <t>Agree, keep in Housing</t>
  </si>
  <si>
    <t>All in Housing</t>
  </si>
  <si>
    <t>FSP Participant Housing Supports</t>
  </si>
  <si>
    <t>Cnty Housing Site Security Services</t>
  </si>
  <si>
    <t>CBO Board and Care</t>
  </si>
  <si>
    <t>CBO Augmented Board &amp; Care</t>
  </si>
  <si>
    <t>County Office of Ed. Prevention Program</t>
  </si>
  <si>
    <t>Not allowable</t>
  </si>
  <si>
    <t>Agree, discontinue</t>
  </si>
  <si>
    <t>Prevention not allowable</t>
  </si>
  <si>
    <t>CBO Suicide Prevention Vouchers</t>
  </si>
  <si>
    <t>Split EI/EI 25 &amp; younger</t>
  </si>
  <si>
    <t>Support, matches voucher split</t>
  </si>
  <si>
    <t>PATH Grant Match</t>
  </si>
  <si>
    <t>FSP Client Bus Passes</t>
  </si>
  <si>
    <t>CalMHSA PEI Statewide Prgm</t>
  </si>
  <si>
    <t>Not continuing</t>
  </si>
  <si>
    <t>Program discontinued</t>
  </si>
  <si>
    <t>Cnty General Outreach</t>
  </si>
  <si>
    <t>Equine Therapy Sponsorships</t>
  </si>
  <si>
    <t>Letter to File within HHSA #1</t>
  </si>
  <si>
    <t>Letter to File within HHSA #2</t>
  </si>
  <si>
    <t>Agree, keep in EI</t>
  </si>
  <si>
    <t>All in EI</t>
  </si>
  <si>
    <t>Letter to File within HHSA #3</t>
  </si>
  <si>
    <t>Support, matches split</t>
  </si>
  <si>
    <t>Letter to File within HHSA #4</t>
  </si>
  <si>
    <t>Discontinue per leadership</t>
  </si>
  <si>
    <t>Senior Outreach Program</t>
  </si>
  <si>
    <t>Agreen EI only, not EI &lt;25</t>
  </si>
  <si>
    <t>New Cost Center</t>
  </si>
  <si>
    <t>For "N" activities flag in the Cost Center Column</t>
  </si>
  <si>
    <t>Additional Participant Housing Supports</t>
  </si>
  <si>
    <t>Expecting more participant support rental assistance costs</t>
  </si>
  <si>
    <t>Augmented B&amp;C</t>
  </si>
  <si>
    <t>New cnty augmented B&amp;C starting 26/27</t>
  </si>
  <si>
    <t>SSI/SSA client monthly housing collections</t>
  </si>
  <si>
    <t>CBO High Fidelity WRAP</t>
  </si>
  <si>
    <t>CBO CSC FEP</t>
  </si>
  <si>
    <t>CBO FACT Team</t>
  </si>
  <si>
    <t>CBO ACT Team</t>
  </si>
  <si>
    <t>Assertive FB Initiation SUD</t>
  </si>
  <si>
    <t>BHSS - GSD</t>
  </si>
  <si>
    <t>Planned Additional Staff</t>
  </si>
  <si>
    <t>Cnty contracting several programs out, moving existing staff to BHSA</t>
  </si>
  <si>
    <t>CBO #2 Outpatienbt Program</t>
  </si>
  <si>
    <t>Moving 25% of TP CMH contract into FSP, keeping the rest w/ Trad.</t>
  </si>
  <si>
    <t>Cnty outpatient clinic costs split 35% BHSA FSP in 26/27</t>
  </si>
  <si>
    <t>Medi-Cal revenues from outpatient clinic servces</t>
  </si>
  <si>
    <t>CBO #1 CARE Court</t>
  </si>
  <si>
    <t>Moving all of CARE Court from Other Funding To FSP in 26/27</t>
  </si>
  <si>
    <t>Medi-Cal FFP revenues &amp; SGF revenues from CARE claiming</t>
  </si>
  <si>
    <t>Medi-Cal FFP revenues in anticipation of Mcal certifying the prgm</t>
  </si>
  <si>
    <t>IPS Supported Employment (add planned costs for fidelity)</t>
  </si>
  <si>
    <t>IPS SE Medi-Cal FFP revenues</t>
  </si>
  <si>
    <t>Adjustments for Rounding</t>
  </si>
  <si>
    <t>Rounding adjustments</t>
  </si>
  <si>
    <t>Fix #1</t>
  </si>
  <si>
    <t>Off</t>
  </si>
  <si>
    <t>Fix #1.1</t>
  </si>
  <si>
    <t>On</t>
  </si>
  <si>
    <t>New Requirements</t>
  </si>
  <si>
    <t>Mandate 1</t>
  </si>
  <si>
    <t>Date</t>
  </si>
  <si>
    <t>Current Model &amp; Alternate Scenarios</t>
  </si>
  <si>
    <t>Current Model</t>
  </si>
  <si>
    <t>Selected Allocation</t>
  </si>
  <si>
    <t>Adjustment Needed</t>
  </si>
  <si>
    <t>Scenario 1</t>
  </si>
  <si>
    <t>Allocation</t>
  </si>
  <si>
    <t>Adjustment Required</t>
  </si>
  <si>
    <t>Scenario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</si>
</sst>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_(* #,##0_);_(* \(#,##0\);_(* &quot;-&quot;??_);_(@_)"/>
    <numFmt numFmtId="165" formatCode="0.0%"/>
    <numFmt numFmtId="166" formatCode="0.00000%"/>
    <numFmt numFmtId="167" formatCode="&quot;$&quot;#,##0"/>
    <numFmt numFmtId="168" formatCode="&quot;$&quot;#,##0.00"/>
    <numFmt numFmtId="169" formatCode="&quot;$&quot;#,##0.0_);[Red]\(&quot;$&quot;#,##0.0\)"/>
    <numFmt numFmtId="170" formatCode="_(&quot;$&quot;* #,##0_);_(&quot;$&quot;* \(#,##0\);_(&quot;$&quot;* &quot;-&quot;??_);_(@_)"/>
    <numFmt numFmtId="171" formatCode="_(* #,##0.0000_);_(* \(#,##0.0000\);_(* &quot;-&quot;??_);_(@_)"/>
  </numFmts>
  <fonts count="29">
    <font>
      <sz val="11"/>
      <color theme="1"/>
      <name val="Calibri"/>
      <family val="2"/>
      <scheme val="minor"/>
    </font>
    <font>
      <sz val="11"/>
      <color theme="1"/>
      <name val="Calibri"/>
      <family val="2"/>
      <scheme val="minor"/>
    </font>
    <font>
      <b/>
      <sz val="11"/>
      <color theme="1"/>
      <name val="Calibri"/>
      <family val="2"/>
      <scheme val="minor"/>
    </font>
    <font>
      <b/>
      <sz val="12"/>
      <color theme="1"/>
      <name val="Calibri"/>
      <family val="2"/>
      <scheme val="minor"/>
    </font>
    <font>
      <sz val="12"/>
      <color theme="1"/>
      <name val="Calibri"/>
      <family val="2"/>
      <scheme val="minor"/>
    </font>
    <font>
      <sz val="11"/>
      <name val="Calibri"/>
      <family val="2"/>
      <scheme val="minor"/>
    </font>
    <font>
      <sz val="8"/>
      <name val="Calibri"/>
      <family val="2"/>
      <scheme val="minor"/>
    </font>
    <font>
      <sz val="12"/>
      <color theme="1"/>
      <name val="Arial"/>
      <family val="2"/>
    </font>
    <font>
      <b/>
      <sz val="12"/>
      <color theme="0"/>
      <name val="Arial"/>
      <family val="2"/>
    </font>
    <font>
      <i/>
      <sz val="12"/>
      <color theme="1"/>
      <name val="Arial"/>
      <family val="2"/>
    </font>
    <font>
      <sz val="10"/>
      <name val="Arial"/>
      <family val="2"/>
    </font>
    <font>
      <b/>
      <sz val="11"/>
      <name val="Calibri"/>
      <family val="2"/>
      <scheme val="minor"/>
    </font>
    <font>
      <sz val="11"/>
      <color rgb="FF000000"/>
      <name val="Calibri"/>
      <family val="2"/>
      <scheme val="minor"/>
    </font>
    <font>
      <sz val="10"/>
      <color rgb="FF000000"/>
      <name val="Times New Roman"/>
      <family val="1"/>
    </font>
    <font>
      <b/>
      <sz val="12"/>
      <color theme="1"/>
      <name val="Arial"/>
      <family val="2"/>
    </font>
    <font>
      <b/>
      <u/>
      <sz val="12"/>
      <color theme="1"/>
      <name val="Arial"/>
      <family val="2"/>
    </font>
    <font>
      <sz val="12"/>
      <color rgb="FFFF0000"/>
      <name val="Arial"/>
      <family val="2"/>
    </font>
    <font>
      <sz val="9"/>
      <color indexed="81"/>
      <name val="Tahoma"/>
      <family val="2"/>
    </font>
    <font>
      <b/>
      <sz val="11"/>
      <color theme="0"/>
      <name val="Calibri"/>
      <family val="2"/>
      <scheme val="minor"/>
    </font>
    <font>
      <i/>
      <sz val="11"/>
      <color theme="1"/>
      <name val="Calibri"/>
      <family val="2"/>
      <scheme val="minor"/>
    </font>
    <font>
      <sz val="11"/>
      <color theme="0"/>
      <name val="Calibri"/>
      <family val="2"/>
      <scheme val="minor"/>
    </font>
    <font>
      <sz val="11"/>
      <color theme="0" tint="-0.249977111117893"/>
      <name val="Calibri"/>
      <family val="2"/>
      <scheme val="minor"/>
    </font>
    <font>
      <sz val="12"/>
      <color theme="0" tint="-0.249977111117893"/>
      <name val="Arial"/>
      <family val="2"/>
    </font>
    <font>
      <i/>
      <sz val="12"/>
      <color rgb="FFFF0000"/>
      <name val="Arial"/>
      <family val="2"/>
    </font>
    <font>
      <b/>
      <sz val="12"/>
      <color theme="0" tint="-0.249977111117893"/>
      <name val="Arial"/>
      <family val="2"/>
    </font>
    <font>
      <sz val="12"/>
      <color rgb="FF000000"/>
      <name val="Arial"/>
      <family val="2"/>
    </font>
    <font>
      <b/>
      <sz val="12"/>
      <color rgb="FF000000"/>
      <name val="Arial"/>
      <family val="2"/>
    </font>
    <font>
      <b/>
      <sz val="11"/>
      <color rgb="FFFF0000"/>
      <name val="Calibri"/>
      <family val="2"/>
      <scheme val="minor"/>
    </font>
    <font>
      <b/>
      <i/>
      <sz val="11"/>
      <color theme="1"/>
      <name val="Calibri"/>
      <family val="2"/>
      <scheme val="minor"/>
    </font>
  </fonts>
  <fills count="25">
    <fill>
      <patternFill patternType="none"/>
    </fill>
    <fill>
      <patternFill patternType="gray125"/>
    </fill>
    <fill>
      <patternFill patternType="solid">
        <fgColor theme="5" tint="0.59999389629810485"/>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2" tint="-0.749992370372631"/>
        <bgColor indexed="64"/>
      </patternFill>
    </fill>
    <fill>
      <patternFill patternType="solid">
        <fgColor theme="2" tint="-0.499984740745262"/>
        <bgColor indexed="64"/>
      </patternFill>
    </fill>
    <fill>
      <patternFill patternType="solid">
        <fgColor rgb="FFFF0000"/>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tint="0.14999847407452621"/>
        <bgColor indexed="64"/>
      </patternFill>
    </fill>
    <fill>
      <patternFill patternType="solid">
        <fgColor theme="0"/>
        <bgColor rgb="FF000000"/>
      </patternFill>
    </fill>
    <fill>
      <patternFill patternType="solid">
        <fgColor rgb="FFFFFF99"/>
        <bgColor indexed="64"/>
      </patternFill>
    </fill>
    <fill>
      <patternFill patternType="solid">
        <fgColor theme="7" tint="0.59999389629810485"/>
        <bgColor rgb="FF000000"/>
      </patternFill>
    </fill>
    <fill>
      <patternFill patternType="solid">
        <fgColor rgb="FFFFFF00"/>
        <bgColor rgb="FF000000"/>
      </patternFill>
    </fill>
  </fills>
  <borders count="42">
    <border>
      <left/>
      <right/>
      <top/>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right/>
      <top style="dotted">
        <color indexed="64"/>
      </top>
      <bottom style="dotted">
        <color indexed="64"/>
      </bottom>
      <diagonal/>
    </border>
    <border>
      <left/>
      <right/>
      <top style="dotted">
        <color indexed="64"/>
      </top>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style="double">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21">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0" fontId="10" fillId="0" borderId="0">
      <alignment vertical="top"/>
    </xf>
    <xf numFmtId="43" fontId="10" fillId="0" borderId="0" applyFont="0" applyFill="0" applyBorder="0" applyAlignment="0" applyProtection="0"/>
    <xf numFmtId="0" fontId="10" fillId="0" borderId="0">
      <alignment vertical="top"/>
    </xf>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4" fontId="12" fillId="0" borderId="0" applyFont="0" applyFill="0" applyBorder="0" applyAlignment="0" applyProtection="0"/>
    <xf numFmtId="9" fontId="1" fillId="0" borderId="0" applyFont="0" applyFill="0" applyBorder="0" applyAlignment="0" applyProtection="0"/>
    <xf numFmtId="43" fontId="12" fillId="0" borderId="0" applyFont="0" applyFill="0" applyBorder="0" applyAlignment="0" applyProtection="0"/>
    <xf numFmtId="0" fontId="13" fillId="0" borderId="0"/>
    <xf numFmtId="44" fontId="1" fillId="0" borderId="0" applyFont="0" applyFill="0" applyBorder="0" applyAlignment="0" applyProtection="0"/>
  </cellStyleXfs>
  <cellXfs count="295">
    <xf numFmtId="0" fontId="0" fillId="0" borderId="0" xfId="0"/>
    <xf numFmtId="0" fontId="7" fillId="0" borderId="0" xfId="0" applyFont="1"/>
    <xf numFmtId="164" fontId="4" fillId="0" borderId="2" xfId="1" applyNumberFormat="1" applyFont="1" applyBorder="1"/>
    <xf numFmtId="0" fontId="3" fillId="6" borderId="2" xfId="0" applyFont="1" applyFill="1" applyBorder="1" applyAlignment="1">
      <alignment horizontal="center" wrapText="1"/>
    </xf>
    <xf numFmtId="0" fontId="5" fillId="6" borderId="2" xfId="9" applyFont="1" applyFill="1" applyBorder="1" applyAlignment="1">
      <alignment horizontal="center"/>
    </xf>
    <xf numFmtId="0" fontId="3" fillId="7" borderId="2" xfId="0" applyFont="1" applyFill="1" applyBorder="1" applyAlignment="1">
      <alignment horizontal="center"/>
    </xf>
    <xf numFmtId="164" fontId="0" fillId="6" borderId="2" xfId="1" applyNumberFormat="1" applyFont="1" applyFill="1" applyBorder="1" applyAlignment="1">
      <alignment horizontal="center" vertical="center"/>
    </xf>
    <xf numFmtId="164" fontId="5" fillId="3" borderId="12" xfId="9" applyNumberFormat="1" applyFont="1" applyFill="1" applyBorder="1" applyAlignment="1">
      <alignment horizontal="center"/>
    </xf>
    <xf numFmtId="164" fontId="5" fillId="3" borderId="13" xfId="9" applyNumberFormat="1" applyFont="1" applyFill="1" applyBorder="1" applyAlignment="1">
      <alignment horizontal="center"/>
    </xf>
    <xf numFmtId="164" fontId="5" fillId="3" borderId="1" xfId="9" applyNumberFormat="1" applyFont="1" applyFill="1" applyBorder="1" applyAlignment="1">
      <alignment horizontal="center"/>
    </xf>
    <xf numFmtId="0" fontId="14" fillId="0" borderId="0" xfId="0" applyFont="1"/>
    <xf numFmtId="167" fontId="0" fillId="0" borderId="0" xfId="0" applyNumberFormat="1"/>
    <xf numFmtId="0" fontId="0" fillId="11" borderId="4" xfId="0" applyFill="1" applyBorder="1" applyAlignment="1">
      <alignment horizontal="centerContinuous"/>
    </xf>
    <xf numFmtId="0" fontId="0" fillId="11" borderId="11" xfId="0" applyFill="1" applyBorder="1" applyAlignment="1">
      <alignment horizontal="centerContinuous"/>
    </xf>
    <xf numFmtId="0" fontId="0" fillId="12" borderId="4" xfId="0" applyFill="1" applyBorder="1" applyAlignment="1">
      <alignment horizontal="centerContinuous"/>
    </xf>
    <xf numFmtId="0" fontId="0" fillId="12" borderId="11" xfId="0" applyFill="1" applyBorder="1" applyAlignment="1">
      <alignment horizontal="centerContinuous"/>
    </xf>
    <xf numFmtId="0" fontId="0" fillId="12" borderId="3" xfId="0" applyFill="1" applyBorder="1" applyAlignment="1">
      <alignment horizontal="centerContinuous"/>
    </xf>
    <xf numFmtId="0" fontId="0" fillId="0" borderId="0" xfId="0" applyAlignment="1">
      <alignment wrapText="1"/>
    </xf>
    <xf numFmtId="0" fontId="0" fillId="0" borderId="0" xfId="0" applyAlignment="1">
      <alignment horizontal="center" wrapText="1"/>
    </xf>
    <xf numFmtId="0" fontId="0" fillId="0" borderId="0" xfId="0" applyAlignment="1">
      <alignment horizontal="center"/>
    </xf>
    <xf numFmtId="0" fontId="0" fillId="9" borderId="0" xfId="0" applyFill="1"/>
    <xf numFmtId="5" fontId="0" fillId="0" borderId="0" xfId="0" applyNumberFormat="1"/>
    <xf numFmtId="0" fontId="0" fillId="0" borderId="10" xfId="0" applyBorder="1"/>
    <xf numFmtId="0" fontId="19" fillId="10" borderId="10" xfId="0" applyFont="1" applyFill="1" applyBorder="1" applyAlignment="1">
      <alignment horizontal="left" indent="1"/>
    </xf>
    <xf numFmtId="165" fontId="19" fillId="10" borderId="10" xfId="0" applyNumberFormat="1" applyFont="1" applyFill="1" applyBorder="1"/>
    <xf numFmtId="0" fontId="0" fillId="0" borderId="4" xfId="0" applyBorder="1" applyAlignment="1">
      <alignment wrapText="1"/>
    </xf>
    <xf numFmtId="0" fontId="0" fillId="8" borderId="4" xfId="0" applyFill="1" applyBorder="1" applyAlignment="1">
      <alignment horizontal="center" wrapText="1"/>
    </xf>
    <xf numFmtId="0" fontId="0" fillId="5" borderId="4" xfId="0" applyFill="1" applyBorder="1" applyAlignment="1">
      <alignment horizontal="center" wrapText="1"/>
    </xf>
    <xf numFmtId="0" fontId="19" fillId="10" borderId="19" xfId="0" applyFont="1" applyFill="1" applyBorder="1" applyAlignment="1">
      <alignment horizontal="left" indent="1"/>
    </xf>
    <xf numFmtId="165" fontId="19" fillId="10" borderId="19" xfId="0" applyNumberFormat="1" applyFont="1" applyFill="1" applyBorder="1"/>
    <xf numFmtId="0" fontId="0" fillId="9" borderId="0" xfId="0" applyFill="1" applyAlignment="1">
      <alignment horizontal="right"/>
    </xf>
    <xf numFmtId="164" fontId="0" fillId="9" borderId="0" xfId="0" applyNumberFormat="1" applyFill="1"/>
    <xf numFmtId="0" fontId="2" fillId="0" borderId="2" xfId="0" applyFont="1" applyBorder="1" applyAlignment="1">
      <alignment horizontal="centerContinuous"/>
    </xf>
    <xf numFmtId="0" fontId="0" fillId="4" borderId="2" xfId="0" applyFill="1" applyBorder="1" applyAlignment="1">
      <alignment horizontal="center" wrapText="1"/>
    </xf>
    <xf numFmtId="165" fontId="0" fillId="0" borderId="5" xfId="0" applyNumberFormat="1" applyBorder="1"/>
    <xf numFmtId="165" fontId="19" fillId="10" borderId="5" xfId="0" applyNumberFormat="1" applyFont="1" applyFill="1" applyBorder="1"/>
    <xf numFmtId="165" fontId="19" fillId="10" borderId="20" xfId="0" applyNumberFormat="1" applyFont="1" applyFill="1" applyBorder="1"/>
    <xf numFmtId="0" fontId="0" fillId="8" borderId="2" xfId="0" applyFill="1" applyBorder="1" applyAlignment="1">
      <alignment horizontal="center" wrapText="1"/>
    </xf>
    <xf numFmtId="5" fontId="0" fillId="0" borderId="5" xfId="0" applyNumberFormat="1" applyBorder="1"/>
    <xf numFmtId="5" fontId="19" fillId="10" borderId="5" xfId="0" applyNumberFormat="1" applyFont="1" applyFill="1" applyBorder="1"/>
    <xf numFmtId="5" fontId="19" fillId="10" borderId="6" xfId="0" applyNumberFormat="1" applyFont="1" applyFill="1" applyBorder="1"/>
    <xf numFmtId="0" fontId="0" fillId="0" borderId="2" xfId="0" applyBorder="1"/>
    <xf numFmtId="0" fontId="18" fillId="18" borderId="4" xfId="0" applyFont="1" applyFill="1" applyBorder="1" applyAlignment="1">
      <alignment horizontal="centerContinuous"/>
    </xf>
    <xf numFmtId="0" fontId="18" fillId="18" borderId="3" xfId="0" applyFont="1" applyFill="1" applyBorder="1" applyAlignment="1">
      <alignment horizontal="centerContinuous"/>
    </xf>
    <xf numFmtId="0" fontId="18" fillId="15" borderId="17" xfId="0" applyFont="1" applyFill="1" applyBorder="1" applyAlignment="1">
      <alignment horizontal="centerContinuous" wrapText="1"/>
    </xf>
    <xf numFmtId="5" fontId="0" fillId="0" borderId="10" xfId="0" applyNumberFormat="1" applyBorder="1"/>
    <xf numFmtId="5" fontId="19" fillId="10" borderId="10" xfId="0" applyNumberFormat="1" applyFont="1" applyFill="1" applyBorder="1"/>
    <xf numFmtId="5" fontId="19" fillId="10" borderId="16" xfId="0" applyNumberFormat="1" applyFont="1" applyFill="1" applyBorder="1"/>
    <xf numFmtId="165" fontId="0" fillId="3" borderId="10" xfId="0" applyNumberFormat="1" applyFill="1" applyBorder="1"/>
    <xf numFmtId="0" fontId="0" fillId="5" borderId="3" xfId="0" applyFill="1" applyBorder="1" applyAlignment="1">
      <alignment horizontal="centerContinuous" wrapText="1"/>
    </xf>
    <xf numFmtId="0" fontId="0" fillId="8" borderId="11" xfId="0" applyFill="1" applyBorder="1" applyAlignment="1">
      <alignment horizontal="centerContinuous" wrapText="1"/>
    </xf>
    <xf numFmtId="0" fontId="2" fillId="13" borderId="2" xfId="0" applyFont="1" applyFill="1" applyBorder="1" applyAlignment="1">
      <alignment horizontal="centerContinuous" wrapText="1"/>
    </xf>
    <xf numFmtId="0" fontId="0" fillId="0" borderId="22" xfId="0" applyBorder="1"/>
    <xf numFmtId="0" fontId="2" fillId="2" borderId="2" xfId="0" applyFont="1" applyFill="1" applyBorder="1" applyAlignment="1">
      <alignment horizontal="centerContinuous" wrapText="1"/>
    </xf>
    <xf numFmtId="0" fontId="2" fillId="14" borderId="2" xfId="0" applyFont="1" applyFill="1" applyBorder="1" applyAlignment="1">
      <alignment horizontal="centerContinuous" wrapText="1"/>
    </xf>
    <xf numFmtId="0" fontId="0" fillId="0" borderId="24" xfId="0" applyBorder="1"/>
    <xf numFmtId="0" fontId="0" fillId="0" borderId="23" xfId="0" applyBorder="1" applyAlignment="1">
      <alignment wrapText="1"/>
    </xf>
    <xf numFmtId="0" fontId="0" fillId="0" borderId="22" xfId="0" applyBorder="1" applyAlignment="1">
      <alignment wrapText="1"/>
    </xf>
    <xf numFmtId="0" fontId="0" fillId="0" borderId="24" xfId="0" applyBorder="1" applyAlignment="1">
      <alignment wrapText="1"/>
    </xf>
    <xf numFmtId="0" fontId="0" fillId="0" borderId="21" xfId="0" applyBorder="1"/>
    <xf numFmtId="0" fontId="0" fillId="0" borderId="26" xfId="0" applyBorder="1"/>
    <xf numFmtId="0" fontId="0" fillId="0" borderId="25" xfId="0" applyBorder="1" applyAlignment="1">
      <alignment wrapText="1"/>
    </xf>
    <xf numFmtId="0" fontId="0" fillId="0" borderId="21" xfId="0" applyBorder="1" applyAlignment="1">
      <alignment wrapText="1"/>
    </xf>
    <xf numFmtId="0" fontId="0" fillId="0" borderId="26" xfId="0" applyBorder="1" applyAlignment="1">
      <alignment wrapText="1"/>
    </xf>
    <xf numFmtId="0" fontId="20" fillId="16" borderId="2" xfId="0" applyFont="1" applyFill="1" applyBorder="1" applyAlignment="1">
      <alignment horizontal="centerContinuous" wrapText="1"/>
    </xf>
    <xf numFmtId="0" fontId="18" fillId="15" borderId="18" xfId="0" applyFont="1" applyFill="1" applyBorder="1" applyAlignment="1">
      <alignment horizontal="centerContinuous" wrapText="1"/>
    </xf>
    <xf numFmtId="0" fontId="18" fillId="15" borderId="14" xfId="0" applyFont="1" applyFill="1" applyBorder="1" applyAlignment="1">
      <alignment horizontal="centerContinuous" wrapText="1"/>
    </xf>
    <xf numFmtId="9" fontId="2" fillId="3" borderId="6" xfId="0" applyNumberFormat="1" applyFont="1" applyFill="1" applyBorder="1" applyAlignment="1">
      <alignment horizontal="center"/>
    </xf>
    <xf numFmtId="9" fontId="2" fillId="3" borderId="2" xfId="0" applyNumberFormat="1" applyFont="1" applyFill="1" applyBorder="1" applyAlignment="1">
      <alignment horizontal="center"/>
    </xf>
    <xf numFmtId="0" fontId="0" fillId="5" borderId="2" xfId="0" applyFill="1" applyBorder="1" applyAlignment="1">
      <alignment horizontal="center" wrapText="1"/>
    </xf>
    <xf numFmtId="0" fontId="2" fillId="0" borderId="27" xfId="0" applyFont="1" applyBorder="1"/>
    <xf numFmtId="165" fontId="2" fillId="0" borderId="27" xfId="0" applyNumberFormat="1" applyFont="1" applyBorder="1"/>
    <xf numFmtId="167" fontId="2" fillId="0" borderId="27" xfId="0" applyNumberFormat="1" applyFont="1" applyBorder="1"/>
    <xf numFmtId="167" fontId="2" fillId="0" borderId="27" xfId="0" applyNumberFormat="1" applyFont="1" applyBorder="1" applyAlignment="1">
      <alignment horizontal="center"/>
    </xf>
    <xf numFmtId="167" fontId="2" fillId="0" borderId="27" xfId="0" applyNumberFormat="1" applyFont="1" applyBorder="1" applyAlignment="1">
      <alignment horizontal="right"/>
    </xf>
    <xf numFmtId="165" fontId="0" fillId="9" borderId="10" xfId="0" applyNumberFormat="1" applyFill="1" applyBorder="1"/>
    <xf numFmtId="165" fontId="0" fillId="10" borderId="10" xfId="0" applyNumberFormat="1" applyFill="1" applyBorder="1"/>
    <xf numFmtId="164" fontId="0" fillId="0" borderId="0" xfId="0" applyNumberFormat="1"/>
    <xf numFmtId="0" fontId="0" fillId="0" borderId="0" xfId="0" applyAlignment="1">
      <alignment horizontal="left"/>
    </xf>
    <xf numFmtId="0" fontId="0" fillId="0" borderId="0" xfId="0" applyAlignment="1">
      <alignment horizontal="left" wrapText="1"/>
    </xf>
    <xf numFmtId="0" fontId="0" fillId="9" borderId="4" xfId="0" applyFill="1" applyBorder="1" applyAlignment="1">
      <alignment horizontal="center" wrapText="1"/>
    </xf>
    <xf numFmtId="0" fontId="2" fillId="13" borderId="4" xfId="0" applyFont="1" applyFill="1" applyBorder="1" applyAlignment="1">
      <alignment horizontal="centerContinuous" wrapText="1"/>
    </xf>
    <xf numFmtId="0" fontId="0" fillId="13" borderId="11" xfId="0" applyFill="1" applyBorder="1" applyAlignment="1">
      <alignment horizontal="centerContinuous"/>
    </xf>
    <xf numFmtId="0" fontId="2" fillId="13" borderId="11" xfId="0" applyFont="1" applyFill="1" applyBorder="1" applyAlignment="1">
      <alignment horizontal="centerContinuous" wrapText="1"/>
    </xf>
    <xf numFmtId="0" fontId="0" fillId="13" borderId="3" xfId="0" applyFill="1" applyBorder="1" applyAlignment="1">
      <alignment horizontal="centerContinuous"/>
    </xf>
    <xf numFmtId="0" fontId="0" fillId="4" borderId="2" xfId="0" applyFill="1" applyBorder="1" applyAlignment="1">
      <alignment horizontal="centerContinuous" wrapText="1"/>
    </xf>
    <xf numFmtId="5" fontId="0" fillId="0" borderId="5" xfId="0" applyNumberFormat="1" applyBorder="1" applyAlignment="1">
      <alignment horizontal="right"/>
    </xf>
    <xf numFmtId="5" fontId="19" fillId="10" borderId="5" xfId="0" applyNumberFormat="1" applyFont="1" applyFill="1" applyBorder="1" applyAlignment="1">
      <alignment horizontal="right"/>
    </xf>
    <xf numFmtId="5" fontId="19" fillId="10" borderId="6" xfId="0" applyNumberFormat="1" applyFont="1" applyFill="1" applyBorder="1" applyAlignment="1">
      <alignment horizontal="right"/>
    </xf>
    <xf numFmtId="0" fontId="0" fillId="5" borderId="2" xfId="0" applyFill="1" applyBorder="1" applyAlignment="1">
      <alignment horizontal="centerContinuous" wrapText="1"/>
    </xf>
    <xf numFmtId="0" fontId="0" fillId="8" borderId="2" xfId="0" applyFill="1" applyBorder="1" applyAlignment="1">
      <alignment horizontal="centerContinuous" wrapText="1"/>
    </xf>
    <xf numFmtId="0" fontId="2" fillId="2" borderId="4" xfId="0" applyFont="1" applyFill="1" applyBorder="1" applyAlignment="1">
      <alignment horizontal="centerContinuous" wrapText="1"/>
    </xf>
    <xf numFmtId="0" fontId="2" fillId="2" borderId="11" xfId="0" applyFont="1" applyFill="1" applyBorder="1" applyAlignment="1">
      <alignment horizontal="centerContinuous" wrapText="1"/>
    </xf>
    <xf numFmtId="0" fontId="2" fillId="2" borderId="3" xfId="0" applyFont="1" applyFill="1" applyBorder="1" applyAlignment="1">
      <alignment horizontal="centerContinuous" wrapText="1"/>
    </xf>
    <xf numFmtId="0" fontId="2" fillId="14" borderId="4" xfId="0" applyFont="1" applyFill="1" applyBorder="1" applyAlignment="1">
      <alignment horizontal="centerContinuous" wrapText="1"/>
    </xf>
    <xf numFmtId="0" fontId="2" fillId="14" borderId="11" xfId="0" applyFont="1" applyFill="1" applyBorder="1" applyAlignment="1">
      <alignment horizontal="centerContinuous" wrapText="1"/>
    </xf>
    <xf numFmtId="0" fontId="2" fillId="14" borderId="3" xfId="0" applyFont="1" applyFill="1" applyBorder="1" applyAlignment="1">
      <alignment horizontal="centerContinuous" wrapText="1"/>
    </xf>
    <xf numFmtId="0" fontId="20" fillId="16" borderId="4" xfId="0" applyFont="1" applyFill="1" applyBorder="1" applyAlignment="1">
      <alignment horizontal="centerContinuous" wrapText="1"/>
    </xf>
    <xf numFmtId="0" fontId="18" fillId="18" borderId="14" xfId="0" applyFont="1" applyFill="1" applyBorder="1" applyAlignment="1">
      <alignment horizontal="centerContinuous"/>
    </xf>
    <xf numFmtId="0" fontId="0" fillId="10" borderId="4" xfId="0" applyFill="1" applyBorder="1"/>
    <xf numFmtId="0" fontId="0" fillId="10" borderId="3" xfId="0" applyFill="1" applyBorder="1"/>
    <xf numFmtId="0" fontId="0" fillId="10" borderId="16" xfId="0" applyFill="1" applyBorder="1"/>
    <xf numFmtId="0" fontId="0" fillId="10" borderId="7" xfId="0" applyFill="1" applyBorder="1"/>
    <xf numFmtId="9" fontId="0" fillId="10" borderId="3" xfId="0" applyNumberFormat="1" applyFill="1" applyBorder="1" applyAlignment="1">
      <alignment horizontal="center"/>
    </xf>
    <xf numFmtId="0" fontId="21" fillId="0" borderId="0" xfId="0" applyFont="1"/>
    <xf numFmtId="167" fontId="21" fillId="0" borderId="0" xfId="0" applyNumberFormat="1" applyFont="1"/>
    <xf numFmtId="0" fontId="5" fillId="0" borderId="0" xfId="0" applyFont="1" applyAlignment="1">
      <alignment wrapText="1"/>
    </xf>
    <xf numFmtId="165" fontId="2" fillId="19" borderId="9" xfId="0" applyNumberFormat="1" applyFont="1" applyFill="1" applyBorder="1"/>
    <xf numFmtId="0" fontId="0" fillId="12" borderId="15" xfId="0" applyFill="1" applyBorder="1" applyAlignment="1">
      <alignment horizontal="centerContinuous"/>
    </xf>
    <xf numFmtId="0" fontId="0" fillId="12" borderId="7" xfId="0" applyFill="1" applyBorder="1" applyAlignment="1">
      <alignment horizontal="centerContinuous"/>
    </xf>
    <xf numFmtId="167" fontId="0" fillId="19" borderId="14" xfId="0" applyNumberFormat="1" applyFill="1" applyBorder="1"/>
    <xf numFmtId="167" fontId="2" fillId="19" borderId="17" xfId="0" applyNumberFormat="1" applyFont="1" applyFill="1" applyBorder="1"/>
    <xf numFmtId="167" fontId="0" fillId="19" borderId="8" xfId="0" applyNumberFormat="1" applyFill="1" applyBorder="1"/>
    <xf numFmtId="167" fontId="0" fillId="19" borderId="17" xfId="0" applyNumberFormat="1" applyFill="1" applyBorder="1"/>
    <xf numFmtId="0" fontId="20" fillId="18" borderId="18" xfId="0" applyFont="1" applyFill="1" applyBorder="1"/>
    <xf numFmtId="0" fontId="20" fillId="18" borderId="14" xfId="0" applyFont="1" applyFill="1" applyBorder="1"/>
    <xf numFmtId="0" fontId="20" fillId="18" borderId="14" xfId="0" applyFont="1" applyFill="1" applyBorder="1" applyAlignment="1">
      <alignment horizontal="right"/>
    </xf>
    <xf numFmtId="0" fontId="20" fillId="18" borderId="10" xfId="0" applyFont="1" applyFill="1" applyBorder="1"/>
    <xf numFmtId="0" fontId="22" fillId="0" borderId="0" xfId="0" applyFont="1"/>
    <xf numFmtId="0" fontId="23" fillId="0" borderId="0" xfId="0" applyFont="1"/>
    <xf numFmtId="0" fontId="16" fillId="0" borderId="0" xfId="0" applyFont="1"/>
    <xf numFmtId="0" fontId="14" fillId="0" borderId="0" xfId="0" applyFont="1" applyAlignment="1">
      <alignment horizontal="center"/>
    </xf>
    <xf numFmtId="0" fontId="7" fillId="0" borderId="0" xfId="0" applyFont="1" applyAlignment="1">
      <alignment horizontal="left"/>
    </xf>
    <xf numFmtId="0" fontId="7" fillId="0" borderId="0" xfId="0" applyFont="1" applyAlignment="1">
      <alignment horizontal="left" indent="1"/>
    </xf>
    <xf numFmtId="0" fontId="7" fillId="0" borderId="0" xfId="0" quotePrefix="1" applyFont="1" applyAlignment="1">
      <alignment horizontal="left" indent="2"/>
    </xf>
    <xf numFmtId="0" fontId="7" fillId="13" borderId="11" xfId="0" applyFont="1" applyFill="1" applyBorder="1" applyAlignment="1">
      <alignment horizontal="centerContinuous"/>
    </xf>
    <xf numFmtId="0" fontId="7" fillId="0" borderId="4" xfId="0" applyFont="1" applyBorder="1" applyAlignment="1">
      <alignment wrapText="1"/>
    </xf>
    <xf numFmtId="0" fontId="7" fillId="9" borderId="4" xfId="0" applyFont="1" applyFill="1" applyBorder="1" applyAlignment="1">
      <alignment horizontal="center" wrapText="1"/>
    </xf>
    <xf numFmtId="0" fontId="7" fillId="4" borderId="2" xfId="0" applyFont="1" applyFill="1" applyBorder="1" applyAlignment="1">
      <alignment horizontal="centerContinuous" wrapText="1"/>
    </xf>
    <xf numFmtId="0" fontId="7" fillId="4" borderId="2" xfId="0" applyFont="1" applyFill="1" applyBorder="1" applyAlignment="1">
      <alignment horizontal="center" wrapText="1"/>
    </xf>
    <xf numFmtId="0" fontId="7" fillId="0" borderId="10" xfId="0" applyFont="1" applyBorder="1"/>
    <xf numFmtId="165" fontId="7" fillId="0" borderId="5" xfId="0" applyNumberFormat="1" applyFont="1" applyBorder="1"/>
    <xf numFmtId="5" fontId="7" fillId="0" borderId="5" xfId="0" applyNumberFormat="1" applyFont="1" applyBorder="1"/>
    <xf numFmtId="5" fontId="7" fillId="0" borderId="5" xfId="0" applyNumberFormat="1" applyFont="1" applyBorder="1" applyAlignment="1">
      <alignment horizontal="right"/>
    </xf>
    <xf numFmtId="0" fontId="9" fillId="10" borderId="10" xfId="0" applyFont="1" applyFill="1" applyBorder="1" applyAlignment="1">
      <alignment horizontal="left" indent="1"/>
    </xf>
    <xf numFmtId="165" fontId="9" fillId="10" borderId="5" xfId="0" applyNumberFormat="1" applyFont="1" applyFill="1" applyBorder="1"/>
    <xf numFmtId="5" fontId="9" fillId="10" borderId="5" xfId="0" applyNumberFormat="1" applyFont="1" applyFill="1" applyBorder="1"/>
    <xf numFmtId="5" fontId="9" fillId="10" borderId="5" xfId="0" applyNumberFormat="1" applyFont="1" applyFill="1" applyBorder="1" applyAlignment="1">
      <alignment horizontal="right"/>
    </xf>
    <xf numFmtId="0" fontId="9" fillId="10" borderId="19" xfId="0" applyFont="1" applyFill="1" applyBorder="1" applyAlignment="1">
      <alignment horizontal="left" indent="1"/>
    </xf>
    <xf numFmtId="165" fontId="9" fillId="10" borderId="20" xfId="0" applyNumberFormat="1" applyFont="1" applyFill="1" applyBorder="1"/>
    <xf numFmtId="165" fontId="9" fillId="10" borderId="6" xfId="0" applyNumberFormat="1" applyFont="1" applyFill="1" applyBorder="1"/>
    <xf numFmtId="5" fontId="9" fillId="10" borderId="6" xfId="0" applyNumberFormat="1" applyFont="1" applyFill="1" applyBorder="1"/>
    <xf numFmtId="5" fontId="9" fillId="10" borderId="6" xfId="0" applyNumberFormat="1" applyFont="1" applyFill="1" applyBorder="1" applyAlignment="1">
      <alignment horizontal="right"/>
    </xf>
    <xf numFmtId="0" fontId="14" fillId="0" borderId="27" xfId="0" applyFont="1" applyBorder="1"/>
    <xf numFmtId="0" fontId="24" fillId="0" borderId="0" xfId="0" applyFont="1"/>
    <xf numFmtId="0" fontId="7" fillId="13" borderId="4" xfId="0" applyFont="1" applyFill="1" applyBorder="1" applyAlignment="1">
      <alignment horizontal="centerContinuous" wrapText="1"/>
    </xf>
    <xf numFmtId="0" fontId="7" fillId="13" borderId="11" xfId="0" applyFont="1" applyFill="1" applyBorder="1" applyAlignment="1">
      <alignment horizontal="centerContinuous" wrapText="1"/>
    </xf>
    <xf numFmtId="165" fontId="7" fillId="0" borderId="27" xfId="0" applyNumberFormat="1" applyFont="1" applyBorder="1"/>
    <xf numFmtId="167" fontId="7" fillId="0" borderId="27" xfId="0" applyNumberFormat="1" applyFont="1" applyBorder="1"/>
    <xf numFmtId="167" fontId="7" fillId="0" borderId="27" xfId="0" applyNumberFormat="1" applyFont="1" applyBorder="1" applyAlignment="1">
      <alignment horizontal="center"/>
    </xf>
    <xf numFmtId="0" fontId="7" fillId="3" borderId="0" xfId="0" applyFont="1" applyFill="1" applyAlignment="1">
      <alignment horizontal="center"/>
    </xf>
    <xf numFmtId="0" fontId="7" fillId="0" borderId="0" xfId="0" quotePrefix="1" applyFont="1" applyAlignment="1">
      <alignment horizontal="left" indent="1"/>
    </xf>
    <xf numFmtId="7" fontId="0" fillId="0" borderId="22" xfId="0" applyNumberFormat="1" applyBorder="1"/>
    <xf numFmtId="7" fontId="0" fillId="9" borderId="0" xfId="0" applyNumberFormat="1" applyFill="1"/>
    <xf numFmtId="5" fontId="0" fillId="9" borderId="0" xfId="0" applyNumberFormat="1" applyFill="1"/>
    <xf numFmtId="0" fontId="20" fillId="18" borderId="6" xfId="0" applyFont="1" applyFill="1" applyBorder="1"/>
    <xf numFmtId="0" fontId="20" fillId="18" borderId="0" xfId="0" applyFont="1" applyFill="1"/>
    <xf numFmtId="0" fontId="20" fillId="18" borderId="0" xfId="0" applyFont="1" applyFill="1" applyAlignment="1">
      <alignment horizontal="right"/>
    </xf>
    <xf numFmtId="0" fontId="20" fillId="18" borderId="16" xfId="0" applyFont="1" applyFill="1" applyBorder="1" applyAlignment="1">
      <alignment horizontal="right"/>
    </xf>
    <xf numFmtId="165" fontId="0" fillId="19" borderId="0" xfId="2" applyNumberFormat="1" applyFont="1" applyFill="1" applyBorder="1" applyAlignment="1">
      <alignment horizontal="centerContinuous"/>
    </xf>
    <xf numFmtId="165" fontId="0" fillId="19" borderId="15" xfId="2" applyNumberFormat="1" applyFont="1" applyFill="1" applyBorder="1" applyAlignment="1">
      <alignment horizontal="center"/>
    </xf>
    <xf numFmtId="165" fontId="2" fillId="19" borderId="7" xfId="0" applyNumberFormat="1" applyFont="1" applyFill="1" applyBorder="1"/>
    <xf numFmtId="0" fontId="20" fillId="18" borderId="2" xfId="0" applyFont="1" applyFill="1" applyBorder="1" applyAlignment="1">
      <alignment horizontal="center"/>
    </xf>
    <xf numFmtId="0" fontId="20" fillId="18" borderId="11" xfId="0" applyFont="1" applyFill="1" applyBorder="1" applyAlignment="1">
      <alignment horizontal="centerContinuous"/>
    </xf>
    <xf numFmtId="0" fontId="20" fillId="18" borderId="3" xfId="0" applyFont="1" applyFill="1" applyBorder="1" applyAlignment="1">
      <alignment horizontal="centerContinuous"/>
    </xf>
    <xf numFmtId="0" fontId="18" fillId="18" borderId="3" xfId="0" applyFont="1" applyFill="1" applyBorder="1" applyAlignment="1">
      <alignment horizontal="center"/>
    </xf>
    <xf numFmtId="5" fontId="2" fillId="19" borderId="7" xfId="0" applyNumberFormat="1" applyFont="1" applyFill="1" applyBorder="1"/>
    <xf numFmtId="165" fontId="0" fillId="19" borderId="7" xfId="2" applyNumberFormat="1" applyFont="1" applyFill="1" applyBorder="1" applyAlignment="1">
      <alignment horizontal="center"/>
    </xf>
    <xf numFmtId="165" fontId="0" fillId="19" borderId="9" xfId="2" applyNumberFormat="1" applyFont="1" applyFill="1" applyBorder="1" applyAlignment="1">
      <alignment horizontal="centerContinuous"/>
    </xf>
    <xf numFmtId="165" fontId="0" fillId="19" borderId="6" xfId="2" applyNumberFormat="1" applyFont="1" applyFill="1" applyBorder="1" applyAlignment="1">
      <alignment horizontal="center"/>
    </xf>
    <xf numFmtId="0" fontId="20" fillId="18" borderId="15" xfId="0" applyFont="1" applyFill="1" applyBorder="1"/>
    <xf numFmtId="165" fontId="0" fillId="19" borderId="9" xfId="2" applyNumberFormat="1" applyFont="1" applyFill="1" applyBorder="1" applyAlignment="1">
      <alignment horizontal="center"/>
    </xf>
    <xf numFmtId="0" fontId="20" fillId="18" borderId="17" xfId="0" applyFont="1" applyFill="1" applyBorder="1" applyAlignment="1">
      <alignment horizontal="right"/>
    </xf>
    <xf numFmtId="0" fontId="20" fillId="18" borderId="9" xfId="0" applyFont="1" applyFill="1" applyBorder="1" applyAlignment="1">
      <alignment horizontal="right"/>
    </xf>
    <xf numFmtId="0" fontId="20" fillId="18" borderId="16" xfId="0" applyFont="1" applyFill="1" applyBorder="1"/>
    <xf numFmtId="0" fontId="20" fillId="18" borderId="7" xfId="0" applyFont="1" applyFill="1" applyBorder="1" applyAlignment="1">
      <alignment horizontal="right"/>
    </xf>
    <xf numFmtId="9" fontId="25" fillId="9" borderId="0" xfId="0" applyNumberFormat="1" applyFont="1" applyFill="1" applyAlignment="1">
      <alignment horizontal="center"/>
    </xf>
    <xf numFmtId="0" fontId="25" fillId="9" borderId="0" xfId="0" applyFont="1" applyFill="1"/>
    <xf numFmtId="0" fontId="25" fillId="9" borderId="0" xfId="0" applyFont="1" applyFill="1" applyAlignment="1">
      <alignment horizontal="center"/>
    </xf>
    <xf numFmtId="0" fontId="25" fillId="21" borderId="0" xfId="0" applyFont="1" applyFill="1"/>
    <xf numFmtId="0" fontId="25" fillId="9" borderId="0" xfId="0" applyFont="1" applyFill="1" applyAlignment="1">
      <alignment horizontal="center" vertical="center"/>
    </xf>
    <xf numFmtId="0" fontId="25" fillId="9" borderId="0" xfId="0" applyFont="1" applyFill="1" applyAlignment="1">
      <alignment horizontal="right"/>
    </xf>
    <xf numFmtId="0" fontId="25" fillId="21" borderId="0" xfId="0" applyFont="1" applyFill="1" applyAlignment="1">
      <alignment horizontal="centerContinuous" vertical="center"/>
    </xf>
    <xf numFmtId="0" fontId="26" fillId="21" borderId="0" xfId="0" applyFont="1" applyFill="1" applyAlignment="1">
      <alignment horizontal="centerContinuous" vertical="center"/>
    </xf>
    <xf numFmtId="0" fontId="25" fillId="9" borderId="10" xfId="0" applyFont="1" applyFill="1" applyBorder="1"/>
    <xf numFmtId="3" fontId="25" fillId="9" borderId="0" xfId="0" applyNumberFormat="1" applyFont="1" applyFill="1" applyAlignment="1">
      <alignment horizontal="center"/>
    </xf>
    <xf numFmtId="6" fontId="25" fillId="9" borderId="0" xfId="0" applyNumberFormat="1" applyFont="1" applyFill="1" applyAlignment="1">
      <alignment horizontal="right"/>
    </xf>
    <xf numFmtId="0" fontId="25" fillId="9" borderId="9" xfId="0" applyFont="1" applyFill="1" applyBorder="1"/>
    <xf numFmtId="0" fontId="25" fillId="21" borderId="10" xfId="0" applyFont="1" applyFill="1" applyBorder="1"/>
    <xf numFmtId="9" fontId="25" fillId="21" borderId="0" xfId="0" applyNumberFormat="1" applyFont="1" applyFill="1" applyAlignment="1">
      <alignment horizontal="center"/>
    </xf>
    <xf numFmtId="3" fontId="25" fillId="21" borderId="0" xfId="0" applyNumberFormat="1" applyFont="1" applyFill="1" applyAlignment="1">
      <alignment horizontal="center"/>
    </xf>
    <xf numFmtId="6" fontId="25" fillId="21" borderId="0" xfId="0" applyNumberFormat="1" applyFont="1" applyFill="1" applyAlignment="1">
      <alignment horizontal="right"/>
    </xf>
    <xf numFmtId="0" fontId="25" fillId="21" borderId="9" xfId="0" applyFont="1" applyFill="1" applyBorder="1"/>
    <xf numFmtId="0" fontId="25" fillId="9" borderId="16" xfId="0" applyFont="1" applyFill="1" applyBorder="1"/>
    <xf numFmtId="9" fontId="25" fillId="9" borderId="15" xfId="0" applyNumberFormat="1" applyFont="1" applyFill="1" applyBorder="1" applyAlignment="1">
      <alignment horizontal="center"/>
    </xf>
    <xf numFmtId="3" fontId="25" fillId="9" borderId="15" xfId="0" applyNumberFormat="1" applyFont="1" applyFill="1" applyBorder="1" applyAlignment="1">
      <alignment horizontal="center"/>
    </xf>
    <xf numFmtId="6" fontId="25" fillId="9" borderId="15" xfId="0" applyNumberFormat="1" applyFont="1" applyFill="1" applyBorder="1" applyAlignment="1">
      <alignment horizontal="right"/>
    </xf>
    <xf numFmtId="0" fontId="25" fillId="9" borderId="7" xfId="0" applyFont="1" applyFill="1" applyBorder="1"/>
    <xf numFmtId="0" fontId="26" fillId="22" borderId="3" xfId="0" applyFont="1" applyFill="1" applyBorder="1" applyAlignment="1">
      <alignment horizontal="center"/>
    </xf>
    <xf numFmtId="0" fontId="0" fillId="9" borderId="4" xfId="0" applyFill="1" applyBorder="1" applyAlignment="1">
      <alignment horizontal="center"/>
    </xf>
    <xf numFmtId="0" fontId="25" fillId="23" borderId="4" xfId="0" applyFont="1" applyFill="1" applyBorder="1" applyAlignment="1">
      <alignment horizontal="center" vertical="center" wrapText="1"/>
    </xf>
    <xf numFmtId="0" fontId="25" fillId="23" borderId="11" xfId="0" applyFont="1" applyFill="1" applyBorder="1" applyAlignment="1">
      <alignment horizontal="center" vertical="center" wrapText="1"/>
    </xf>
    <xf numFmtId="0" fontId="25" fillId="23" borderId="3" xfId="0" applyFont="1" applyFill="1" applyBorder="1" applyAlignment="1">
      <alignment horizontal="center" vertical="center" wrapText="1"/>
    </xf>
    <xf numFmtId="0" fontId="25" fillId="23" borderId="4" xfId="0" applyFont="1" applyFill="1" applyBorder="1" applyAlignment="1">
      <alignment horizontal="center" vertical="center"/>
    </xf>
    <xf numFmtId="0" fontId="25" fillId="23" borderId="11" xfId="0" applyFont="1" applyFill="1" applyBorder="1"/>
    <xf numFmtId="0" fontId="25" fillId="23" borderId="11" xfId="0" applyFont="1" applyFill="1" applyBorder="1" applyAlignment="1">
      <alignment vertical="center"/>
    </xf>
    <xf numFmtId="0" fontId="0" fillId="0" borderId="11" xfId="0" applyBorder="1" applyAlignment="1">
      <alignment horizontal="centerContinuous"/>
    </xf>
    <xf numFmtId="0" fontId="5" fillId="7" borderId="6" xfId="9" applyFont="1" applyFill="1" applyBorder="1" applyAlignment="1">
      <alignment horizontal="center"/>
    </xf>
    <xf numFmtId="0" fontId="0" fillId="0" borderId="28" xfId="0" applyBorder="1"/>
    <xf numFmtId="0" fontId="2" fillId="0" borderId="31" xfId="0" applyFont="1" applyBorder="1" applyAlignment="1">
      <alignment horizontal="centerContinuous"/>
    </xf>
    <xf numFmtId="0" fontId="0" fillId="0" borderId="32" xfId="0" applyBorder="1" applyAlignment="1">
      <alignment horizontal="centerContinuous"/>
    </xf>
    <xf numFmtId="0" fontId="5" fillId="7" borderId="33" xfId="9" applyFont="1" applyFill="1" applyBorder="1" applyAlignment="1">
      <alignment horizontal="center"/>
    </xf>
    <xf numFmtId="166" fontId="5" fillId="7" borderId="34" xfId="9" applyNumberFormat="1" applyFont="1" applyFill="1" applyBorder="1" applyAlignment="1">
      <alignment horizontal="center"/>
    </xf>
    <xf numFmtId="0" fontId="5" fillId="7" borderId="29" xfId="9" applyFont="1" applyFill="1" applyBorder="1" applyAlignment="1">
      <alignment horizontal="center"/>
    </xf>
    <xf numFmtId="164" fontId="5" fillId="7" borderId="35" xfId="1" applyNumberFormat="1" applyFont="1" applyFill="1" applyBorder="1" applyAlignment="1">
      <alignment horizontal="center"/>
    </xf>
    <xf numFmtId="0" fontId="0" fillId="0" borderId="39" xfId="0" applyBorder="1"/>
    <xf numFmtId="10" fontId="0" fillId="3" borderId="40" xfId="0" applyNumberFormat="1" applyFill="1" applyBorder="1"/>
    <xf numFmtId="0" fontId="5" fillId="7" borderId="37" xfId="9" applyFont="1" applyFill="1" applyBorder="1" applyAlignment="1">
      <alignment horizontal="center"/>
    </xf>
    <xf numFmtId="164" fontId="5" fillId="7" borderId="38" xfId="1" applyNumberFormat="1" applyFont="1" applyFill="1" applyBorder="1" applyAlignment="1">
      <alignment horizontal="center"/>
    </xf>
    <xf numFmtId="0" fontId="18" fillId="17" borderId="0" xfId="0" applyFont="1" applyFill="1"/>
    <xf numFmtId="0" fontId="0" fillId="17" borderId="0" xfId="0" applyFill="1"/>
    <xf numFmtId="5" fontId="18" fillId="17" borderId="0" xfId="0" applyNumberFormat="1" applyFont="1" applyFill="1"/>
    <xf numFmtId="0" fontId="18" fillId="17" borderId="0" xfId="0" applyFont="1" applyFill="1" applyAlignment="1">
      <alignment wrapText="1"/>
    </xf>
    <xf numFmtId="5" fontId="0" fillId="9" borderId="0" xfId="0" applyNumberFormat="1" applyFill="1" applyAlignment="1">
      <alignment horizontal="right"/>
    </xf>
    <xf numFmtId="43" fontId="0" fillId="0" borderId="0" xfId="1" applyFont="1"/>
    <xf numFmtId="168" fontId="0" fillId="0" borderId="0" xfId="0" applyNumberFormat="1"/>
    <xf numFmtId="0" fontId="8" fillId="17" borderId="0" xfId="0" applyFont="1" applyFill="1" applyAlignment="1">
      <alignment horizontal="left" indent="1"/>
    </xf>
    <xf numFmtId="0" fontId="7" fillId="17" borderId="0" xfId="0" applyFont="1" applyFill="1"/>
    <xf numFmtId="0" fontId="7" fillId="0" borderId="0" xfId="0" applyFont="1" applyAlignment="1">
      <alignment horizontal="left" indent="3"/>
    </xf>
    <xf numFmtId="0" fontId="7" fillId="2" borderId="18" xfId="0" applyFont="1" applyFill="1" applyBorder="1" applyAlignment="1">
      <alignment horizontal="left" indent="2"/>
    </xf>
    <xf numFmtId="0" fontId="14" fillId="2" borderId="14" xfId="0" applyFont="1" applyFill="1" applyBorder="1"/>
    <xf numFmtId="0" fontId="22" fillId="2" borderId="14" xfId="0" applyFont="1" applyFill="1" applyBorder="1"/>
    <xf numFmtId="0" fontId="7" fillId="2" borderId="14" xfId="0" applyFont="1" applyFill="1" applyBorder="1"/>
    <xf numFmtId="0" fontId="7" fillId="2" borderId="17" xfId="0" applyFont="1" applyFill="1" applyBorder="1"/>
    <xf numFmtId="0" fontId="7" fillId="2" borderId="16" xfId="0" applyFont="1" applyFill="1" applyBorder="1" applyAlignment="1">
      <alignment horizontal="left" indent="2"/>
    </xf>
    <xf numFmtId="0" fontId="14" fillId="2" borderId="15" xfId="0" applyFont="1" applyFill="1" applyBorder="1"/>
    <xf numFmtId="0" fontId="22" fillId="2" borderId="15" xfId="0" applyFont="1" applyFill="1" applyBorder="1"/>
    <xf numFmtId="0" fontId="7" fillId="2" borderId="15" xfId="0" applyFont="1" applyFill="1" applyBorder="1"/>
    <xf numFmtId="0" fontId="7" fillId="2" borderId="7" xfId="0" applyFont="1" applyFill="1" applyBorder="1"/>
    <xf numFmtId="6" fontId="0" fillId="0" borderId="0" xfId="0" applyNumberFormat="1"/>
    <xf numFmtId="0" fontId="20" fillId="18" borderId="14" xfId="0" applyFont="1" applyFill="1" applyBorder="1" applyAlignment="1">
      <alignment horizontal="center"/>
    </xf>
    <xf numFmtId="0" fontId="2" fillId="3" borderId="41" xfId="0" applyFont="1" applyFill="1" applyBorder="1" applyAlignment="1">
      <alignment horizontal="center"/>
    </xf>
    <xf numFmtId="0" fontId="11" fillId="0" borderId="0" xfId="0" applyFont="1"/>
    <xf numFmtId="5" fontId="11" fillId="0" borderId="0" xfId="0" applyNumberFormat="1" applyFont="1"/>
    <xf numFmtId="0" fontId="11" fillId="0" borderId="0" xfId="0" applyFont="1" applyAlignment="1">
      <alignment wrapText="1"/>
    </xf>
    <xf numFmtId="0" fontId="5" fillId="0" borderId="0" xfId="0" applyFont="1"/>
    <xf numFmtId="0" fontId="7" fillId="3" borderId="2" xfId="0" applyFont="1" applyFill="1" applyBorder="1" applyAlignment="1">
      <alignment horizontal="center" wrapText="1"/>
    </xf>
    <xf numFmtId="0" fontId="7" fillId="3" borderId="3" xfId="0" applyFont="1" applyFill="1" applyBorder="1" applyAlignment="1">
      <alignment horizontal="centerContinuous"/>
    </xf>
    <xf numFmtId="0" fontId="0" fillId="11" borderId="32" xfId="0" applyFill="1" applyBorder="1" applyAlignment="1">
      <alignment horizontal="centerContinuous"/>
    </xf>
    <xf numFmtId="6" fontId="0" fillId="0" borderId="30" xfId="0" applyNumberFormat="1" applyBorder="1"/>
    <xf numFmtId="0" fontId="5" fillId="12" borderId="15" xfId="0" applyFont="1" applyFill="1" applyBorder="1" applyAlignment="1">
      <alignment horizontal="centerContinuous" wrapText="1"/>
    </xf>
    <xf numFmtId="0" fontId="5" fillId="11" borderId="11" xfId="0" applyFont="1" applyFill="1" applyBorder="1" applyAlignment="1">
      <alignment horizontal="centerContinuous"/>
    </xf>
    <xf numFmtId="0" fontId="5" fillId="11" borderId="32" xfId="0" applyFont="1" applyFill="1" applyBorder="1" applyAlignment="1">
      <alignment horizontal="centerContinuous"/>
    </xf>
    <xf numFmtId="9" fontId="25" fillId="24" borderId="2" xfId="0" applyNumberFormat="1" applyFont="1" applyFill="1" applyBorder="1" applyAlignment="1">
      <alignment horizontal="center"/>
    </xf>
    <xf numFmtId="9" fontId="25" fillId="3" borderId="2" xfId="0" applyNumberFormat="1" applyFont="1" applyFill="1" applyBorder="1" applyAlignment="1">
      <alignment horizontal="center"/>
    </xf>
    <xf numFmtId="0" fontId="20" fillId="18" borderId="14" xfId="0" applyFont="1" applyFill="1" applyBorder="1" applyAlignment="1">
      <alignment horizontal="centerContinuous" wrapText="1"/>
    </xf>
    <xf numFmtId="0" fontId="20" fillId="18" borderId="17" xfId="0" applyFont="1" applyFill="1" applyBorder="1" applyAlignment="1">
      <alignment horizontal="centerContinuous" wrapText="1"/>
    </xf>
    <xf numFmtId="164" fontId="0" fillId="9" borderId="2" xfId="0" applyNumberFormat="1" applyFill="1" applyBorder="1" applyAlignment="1">
      <alignment horizontal="right"/>
    </xf>
    <xf numFmtId="164" fontId="0" fillId="0" borderId="0" xfId="1" applyNumberFormat="1" applyFont="1"/>
    <xf numFmtId="169" fontId="0" fillId="0" borderId="0" xfId="0" applyNumberFormat="1"/>
    <xf numFmtId="0" fontId="0" fillId="4" borderId="2" xfId="0" applyFill="1" applyBorder="1" applyAlignment="1">
      <alignment horizontal="center" vertical="center" wrapText="1"/>
    </xf>
    <xf numFmtId="0" fontId="20" fillId="16" borderId="3" xfId="0" applyFont="1" applyFill="1" applyBorder="1" applyAlignment="1">
      <alignment horizontal="centerContinuous" vertical="center" wrapText="1"/>
    </xf>
    <xf numFmtId="0" fontId="0" fillId="5" borderId="2" xfId="0" applyFill="1" applyBorder="1" applyAlignment="1">
      <alignment horizontal="centerContinuous" vertical="center" wrapText="1"/>
    </xf>
    <xf numFmtId="0" fontId="0" fillId="8" borderId="2" xfId="0" applyFill="1" applyBorder="1" applyAlignment="1">
      <alignment horizontal="centerContinuous" vertical="center" wrapText="1"/>
    </xf>
    <xf numFmtId="0" fontId="0" fillId="16" borderId="7" xfId="0" applyFill="1" applyBorder="1" applyAlignment="1">
      <alignment horizontal="centerContinuous"/>
    </xf>
    <xf numFmtId="0" fontId="20" fillId="16" borderId="15" xfId="0" applyFont="1" applyFill="1" applyBorder="1" applyAlignment="1">
      <alignment horizontal="centerContinuous" wrapText="1"/>
    </xf>
    <xf numFmtId="0" fontId="5" fillId="12" borderId="36" xfId="0" applyFont="1" applyFill="1" applyBorder="1" applyAlignment="1">
      <alignment horizontal="centerContinuous" wrapText="1"/>
    </xf>
    <xf numFmtId="0" fontId="0" fillId="12" borderId="35" xfId="0" applyFill="1" applyBorder="1" applyAlignment="1">
      <alignment horizontal="centerContinuous"/>
    </xf>
    <xf numFmtId="9" fontId="0" fillId="0" borderId="0" xfId="2" applyFont="1"/>
    <xf numFmtId="170" fontId="0" fillId="0" borderId="0" xfId="20" applyNumberFormat="1" applyFont="1"/>
    <xf numFmtId="8" fontId="28" fillId="19" borderId="2" xfId="0" applyNumberFormat="1" applyFont="1" applyFill="1" applyBorder="1"/>
    <xf numFmtId="0" fontId="19" fillId="10" borderId="2" xfId="0" applyFont="1" applyFill="1" applyBorder="1" applyAlignment="1">
      <alignment horizontal="left" indent="1"/>
    </xf>
    <xf numFmtId="6" fontId="28" fillId="19" borderId="8" xfId="0" applyNumberFormat="1" applyFont="1" applyFill="1" applyBorder="1"/>
    <xf numFmtId="10" fontId="0" fillId="3" borderId="2" xfId="0" applyNumberFormat="1" applyFill="1" applyBorder="1"/>
    <xf numFmtId="167" fontId="0" fillId="3" borderId="21" xfId="20" applyNumberFormat="1" applyFont="1" applyFill="1" applyBorder="1" applyAlignment="1">
      <alignment horizontal="center"/>
    </xf>
    <xf numFmtId="171" fontId="0" fillId="0" borderId="0" xfId="1" applyNumberFormat="1" applyFont="1"/>
    <xf numFmtId="0" fontId="20" fillId="0" borderId="0" xfId="0" applyFont="1"/>
    <xf numFmtId="167" fontId="0" fillId="0" borderId="0" xfId="0" applyNumberFormat="1" applyAlignment="1">
      <alignment wrapText="1"/>
    </xf>
    <xf numFmtId="0" fontId="2" fillId="0" borderId="0" xfId="0" applyFont="1" applyAlignment="1">
      <alignment horizontal="left" wrapText="1"/>
    </xf>
    <xf numFmtId="3" fontId="0" fillId="0" borderId="0" xfId="0" applyNumberFormat="1"/>
    <xf numFmtId="8" fontId="0" fillId="0" borderId="0" xfId="0" applyNumberFormat="1" applyAlignment="1">
      <alignment wrapText="1"/>
    </xf>
    <xf numFmtId="9" fontId="2" fillId="0" borderId="27" xfId="0" applyNumberFormat="1" applyFont="1" applyBorder="1"/>
    <xf numFmtId="168" fontId="0" fillId="19" borderId="15" xfId="0" applyNumberFormat="1" applyFill="1" applyBorder="1" applyAlignment="1">
      <alignment horizontal="centerContinuous"/>
    </xf>
    <xf numFmtId="168" fontId="0" fillId="19" borderId="7" xfId="0" applyNumberFormat="1" applyFill="1" applyBorder="1" applyAlignment="1">
      <alignment horizontal="centerContinuous"/>
    </xf>
    <xf numFmtId="168" fontId="0" fillId="19" borderId="7" xfId="0" applyNumberFormat="1" applyFill="1" applyBorder="1" applyAlignment="1">
      <alignment horizontal="center"/>
    </xf>
    <xf numFmtId="44" fontId="0" fillId="0" borderId="0" xfId="20" applyFont="1"/>
    <xf numFmtId="7" fontId="0" fillId="0" borderId="0" xfId="0" applyNumberFormat="1"/>
    <xf numFmtId="8" fontId="0" fillId="0" borderId="0" xfId="0" applyNumberFormat="1"/>
    <xf numFmtId="5" fontId="0" fillId="0" borderId="0" xfId="0" applyNumberFormat="1" applyAlignment="1">
      <alignment wrapText="1"/>
    </xf>
    <xf numFmtId="7" fontId="0" fillId="0" borderId="0" xfId="0" applyNumberFormat="1" applyAlignment="1">
      <alignment wrapText="1"/>
    </xf>
    <xf numFmtId="165" fontId="0" fillId="0" borderId="0" xfId="0" applyNumberFormat="1"/>
    <xf numFmtId="4" fontId="0" fillId="10" borderId="8" xfId="0" applyNumberFormat="1" applyFill="1" applyBorder="1" applyAlignment="1">
      <alignment horizontal="center" wrapText="1"/>
    </xf>
    <xf numFmtId="0" fontId="0" fillId="10" borderId="8" xfId="0" applyFill="1" applyBorder="1" applyAlignment="1">
      <alignment horizontal="center" vertical="center" wrapText="1"/>
    </xf>
    <xf numFmtId="0" fontId="20" fillId="20" borderId="4" xfId="0" applyFont="1" applyFill="1" applyBorder="1" applyAlignment="1">
      <alignment horizontal="center" vertical="center" wrapText="1"/>
    </xf>
    <xf numFmtId="0" fontId="20" fillId="20" borderId="2" xfId="0" applyFont="1" applyFill="1" applyBorder="1" applyAlignment="1">
      <alignment horizontal="center" vertical="center" wrapText="1"/>
    </xf>
  </cellXfs>
  <cellStyles count="21">
    <cellStyle name="Comma" xfId="1" builtinId="3"/>
    <cellStyle name="Comma 2" xfId="10" xr:uid="{FE1286C0-8BC4-4EDD-BF41-59D76FCACC77}"/>
    <cellStyle name="Comma 2 2" xfId="14" xr:uid="{4527DB2A-485E-4042-A9AF-73CD95918CE5}"/>
    <cellStyle name="Comma 3" xfId="18" xr:uid="{4A3B7E0E-989F-4518-85B3-A1105609380B}"/>
    <cellStyle name="Comma 4 2" xfId="8" xr:uid="{C2ACFFD3-2F45-4F64-901B-8EFE10870574}"/>
    <cellStyle name="Comma 7" xfId="6" xr:uid="{9552AC6F-6147-4A05-A1EC-406DF452A311}"/>
    <cellStyle name="Currency" xfId="20" builtinId="4"/>
    <cellStyle name="Currency 2" xfId="13" xr:uid="{045C2519-756B-4B6F-845B-AF3601BE6612}"/>
    <cellStyle name="Currency 3" xfId="16" xr:uid="{B122DE4A-B3B4-4F97-B768-5558F2F589F0}"/>
    <cellStyle name="Currency 6" xfId="4" xr:uid="{868873AC-EFE2-4808-9BAC-C5A91B582161}"/>
    <cellStyle name="Normal" xfId="0" builtinId="0"/>
    <cellStyle name="Normal 2" xfId="9" xr:uid="{BB70460A-4AD1-453E-8B6D-A7AF9728C128}"/>
    <cellStyle name="Normal 2 2" xfId="11" xr:uid="{EA34C5CE-9B7B-415D-9EF9-A48053F282C0}"/>
    <cellStyle name="Normal 2 3" xfId="15" xr:uid="{8F201539-3E67-4A3A-8FEC-E2DCA379BB27}"/>
    <cellStyle name="Normal 4" xfId="19" xr:uid="{3BFCBE9B-453B-4244-AFB8-AD4CAF864924}"/>
    <cellStyle name="Normal 4 2" xfId="7" xr:uid="{29B772E4-4CF8-4750-B77A-C678598A7D2D}"/>
    <cellStyle name="Normal 7" xfId="3" xr:uid="{4BC33969-9329-4ECE-BAAB-BE8DC33939FB}"/>
    <cellStyle name="Percent" xfId="2" builtinId="5"/>
    <cellStyle name="Percent 2" xfId="17" xr:uid="{61F8E4E0-0F6E-4E38-BCD4-E0780E9DBA87}"/>
    <cellStyle name="Percent 5" xfId="12" xr:uid="{4DE0AC55-467A-4A52-9D76-A178D9099270}"/>
    <cellStyle name="Percent 7" xfId="5" xr:uid="{19711F0E-960A-45F1-97A7-B969AEDEE775}"/>
  </cellStyles>
  <dxfs count="69">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1" indent="0" justifyLastLine="0" shrinkToFit="0" readingOrder="0"/>
    </dxf>
    <dxf>
      <font>
        <b/>
        <i val="0"/>
        <color theme="0"/>
      </font>
      <fill>
        <patternFill>
          <bgColor rgb="FFFF0000"/>
        </patternFill>
      </fill>
    </dxf>
    <dxf>
      <numFmt numFmtId="10" formatCode="&quot;$&quot;#,##0_);[Red]\(&quot;$&quot;#,##0\)"/>
    </dxf>
    <dxf>
      <numFmt numFmtId="10" formatCode="&quot;$&quot;#,##0_);[Red]\(&quot;$&quot;#,##0\)"/>
      <border diagonalUp="0" diagonalDown="0">
        <right style="medium">
          <color indexed="64"/>
        </right>
        <vertical/>
      </border>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border diagonalUp="0" diagonalDown="0">
        <left/>
        <right style="medium">
          <color indexed="64"/>
        </right>
        <vertical/>
      </border>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numFmt numFmtId="10" formatCode="&quot;$&quot;#,##0_);[Red]\(&quot;$&quot;#,##0\)"/>
    </dxf>
    <dxf>
      <alignment horizontal="center" vertical="bottom" textRotation="0" wrapText="0" indent="0" justifyLastLine="0" shrinkToFit="0" readingOrder="0"/>
    </dxf>
    <dxf>
      <alignment vertical="bottom" textRotation="0" wrapText="1" indent="0" justifyLastLine="0" shrinkToFit="0" readingOrder="0"/>
    </dxf>
    <dxf>
      <numFmt numFmtId="0" formatCode="General"/>
    </dxf>
    <dxf>
      <numFmt numFmtId="0" formatCode="General"/>
    </dxf>
    <dxf>
      <alignment vertical="bottom" textRotation="0" wrapText="1" indent="0" justifyLastLine="0" shrinkToFit="0" readingOrder="0"/>
    </dxf>
    <dxf>
      <numFmt numFmtId="0" formatCode="General"/>
    </dxf>
    <dxf>
      <alignment horizontal="left" vertical="bottom" textRotation="0" wrapText="0" indent="0" justifyLastLine="0" shrinkToFit="0" readingOrder="0"/>
    </dxf>
    <dxf>
      <alignment horizontal="center" vertical="bottom" textRotation="0" wrapText="1" indent="0" justifyLastLine="0" shrinkToFit="0" readingOrder="0"/>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colors>
    <mruColors>
      <color rgb="FFDEC6E0"/>
      <color rgb="FFFFFF99"/>
      <color rgb="FFFF99FF"/>
      <color rgb="FFFF66FF"/>
      <color rgb="FFFFFF66"/>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654328</xdr:colOff>
      <xdr:row>18</xdr:row>
      <xdr:rowOff>190501</xdr:rowOff>
    </xdr:from>
    <xdr:to>
      <xdr:col>10</xdr:col>
      <xdr:colOff>38579</xdr:colOff>
      <xdr:row>23</xdr:row>
      <xdr:rowOff>10189</xdr:rowOff>
    </xdr:to>
    <xdr:pic>
      <xdr:nvPicPr>
        <xdr:cNvPr id="2" name="Picture 1">
          <a:extLst>
            <a:ext uri="{FF2B5EF4-FFF2-40B4-BE49-F238E27FC236}">
              <a16:creationId xmlns:a16="http://schemas.microsoft.com/office/drawing/2014/main" id="{F52EEFC8-A97B-1B33-56CE-7BB07402612F}"/>
            </a:ext>
          </a:extLst>
        </xdr:cNvPr>
        <xdr:cNvPicPr>
          <a:picLocks noChangeAspect="1"/>
        </xdr:cNvPicPr>
      </xdr:nvPicPr>
      <xdr:blipFill>
        <a:blip xmlns:r="http://schemas.openxmlformats.org/officeDocument/2006/relationships" r:embed="rId1"/>
        <a:stretch>
          <a:fillRect/>
        </a:stretch>
      </xdr:blipFill>
      <xdr:spPr>
        <a:xfrm>
          <a:off x="7694545" y="3644349"/>
          <a:ext cx="1110844" cy="786848"/>
        </a:xfrm>
        <a:prstGeom prst="rect">
          <a:avLst/>
        </a:prstGeom>
        <a:effectLst>
          <a:outerShdw blurRad="63500" sx="102000" sy="102000" algn="ctr" rotWithShape="0">
            <a:prstClr val="black">
              <a:alpha val="40000"/>
            </a:prstClr>
          </a:outerShdw>
        </a:effectLst>
      </xdr:spPr>
    </xdr:pic>
    <xdr:clientData/>
  </xdr:twoCellAnchor>
  <xdr:twoCellAnchor>
    <xdr:from>
      <xdr:col>8</xdr:col>
      <xdr:colOff>24848</xdr:colOff>
      <xdr:row>20</xdr:row>
      <xdr:rowOff>24849</xdr:rowOff>
    </xdr:from>
    <xdr:to>
      <xdr:col>9</xdr:col>
      <xdr:colOff>198782</xdr:colOff>
      <xdr:row>20</xdr:row>
      <xdr:rowOff>182218</xdr:rowOff>
    </xdr:to>
    <xdr:sp macro="" textlink="">
      <xdr:nvSpPr>
        <xdr:cNvPr id="3" name="Arrow: Right 2">
          <a:extLst>
            <a:ext uri="{FF2B5EF4-FFF2-40B4-BE49-F238E27FC236}">
              <a16:creationId xmlns:a16="http://schemas.microsoft.com/office/drawing/2014/main" id="{C75CF2D8-C255-8069-5D78-DAAB095AE66C}"/>
            </a:ext>
          </a:extLst>
        </xdr:cNvPr>
        <xdr:cNvSpPr/>
      </xdr:nvSpPr>
      <xdr:spPr>
        <a:xfrm>
          <a:off x="7065065" y="3876262"/>
          <a:ext cx="1035326" cy="157369"/>
        </a:xfrm>
        <a:prstGeom prst="right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Raven Lopez" id="{6D04FD06-C74D-4C24-AEBB-9C7906033BA1}" userId="Raven Lopez"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71F3541-826B-4A70-9BBB-ADDBB5D972FD}" name="Period_Names" displayName="Period_Names" ref="B5:C9" totalsRowShown="0" headerRowDxfId="64" dataDxfId="63">
  <autoFilter ref="B5:C9" xr:uid="{12A67768-3C64-4C49-A045-41D5162028E5}"/>
  <tableColumns count="2">
    <tableColumn id="1" xr3:uid="{57A20A71-42F2-4E2D-866D-F7C4C4E406E3}" name="Period Name" dataDxfId="62"/>
    <tableColumn id="2" xr3:uid="{D883D75D-719F-458A-9915-B22E48ED2CC0}" name="FY" dataDxfId="61"/>
  </tableColumns>
  <tableStyleInfo name="TableStyleDark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80C82633-46CB-41BD-B5EF-9A21A7B6F9C5}" name="Historical_Revenue" displayName="Historical_Revenue" ref="B12:C17" totalsRowShown="0" headerRowDxfId="60" dataDxfId="59">
  <autoFilter ref="B12:C17" xr:uid="{42DBE1FD-CE90-4CDD-997B-65669A231EFF}"/>
  <tableColumns count="2">
    <tableColumn id="1" xr3:uid="{8F85FC90-AFDE-4E40-A23B-1DD7B8C4D9E2}" name="Period Name" dataDxfId="58"/>
    <tableColumn id="2" xr3:uid="{D6ADDB0F-283A-410B-93CB-C64C1AD59937}" name="FY" dataDxfId="57"/>
  </tableColumns>
  <tableStyleInfo name="TableStyleDark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F966A9E-6AEC-47BC-9096-C67892A4DC40}" name="Baseline" displayName="Baseline" ref="B10:W104" totalsRowShown="0" headerRowDxfId="33">
  <autoFilter ref="B10:W104" xr:uid="{7F966A9E-6AEC-47BC-9096-C67892A4DC40}"/>
  <tableColumns count="22">
    <tableColumn id="1" xr3:uid="{B35EA9CB-525F-41ED-A04D-FC59390A2F23}" name="Sector" dataDxfId="32"/>
    <tableColumn id="2" xr3:uid="{918F9D6F-F492-4618-8A01-B5FEDE701C17}" name="SFY" dataDxfId="31">
      <calculatedColumnFormula>Instructions!$C$6</calculatedColumnFormula>
    </tableColumn>
    <tableColumn id="7" xr3:uid="{0807B05D-18FD-4330-A047-A7B2C581AF98}" name="Cost Center" dataDxfId="30"/>
    <tableColumn id="3" xr3:uid="{762CCEED-BD8D-45EC-BBAD-9D907399D946}" name="Fiscal Input" dataDxfId="29"/>
    <tableColumn id="4" xr3:uid="{3D348C01-DE97-4338-B8B8-4B8DC24B34A3}" name="Program Input" dataDxfId="28"/>
    <tableColumn id="40" xr3:uid="{B1CAD6E8-AF13-4313-80D1-C1F7AED97640}" name="Comments" dataDxfId="27"/>
    <tableColumn id="41" xr3:uid="{F793E1C9-28B5-4B05-9DD9-DCC9DF1951DE}" name="Revenue (Y/N)" dataDxfId="26"/>
    <tableColumn id="11" xr3:uid="{1A2629F0-6A59-4BE8-9830-08631EFA0FBA}" name="CSS FSP" dataDxfId="25"/>
    <tableColumn id="12" xr3:uid="{2D56081C-74C6-425E-9A78-7F23128043B2}" name="CSS GSD" dataDxfId="24"/>
    <tableColumn id="13" xr3:uid="{E75967CC-3293-4B56-A8C3-20E30E5118AC}" name="PEI" dataDxfId="23"/>
    <tableColumn id="14" xr3:uid="{5FC48CAF-B495-4209-9060-7F7DCCB1888A}" name="INN" dataDxfId="22"/>
    <tableColumn id="15" xr3:uid="{F727E139-6383-4FAE-982F-35193E197DF4}" name="CFTN" dataDxfId="21"/>
    <tableColumn id="16" xr3:uid="{AA89EC63-E6EA-4615-B6CD-31A4AF8AF5AC}" name="WET" dataDxfId="20"/>
    <tableColumn id="39" xr3:uid="{A6423C52-9950-40D0-A957-E38EB27013EA}" name="MHSA Total" dataDxfId="19">
      <calculatedColumnFormula>SUM(Baseline[[#This Row],[CSS FSP]:[WET]])</calculatedColumnFormula>
    </tableColumn>
    <tableColumn id="18" xr3:uid="{4F096683-C2B7-4B6C-A19A-023E4D3CB3B6}" name="FSP" dataDxfId="18"/>
    <tableColumn id="19" xr3:uid="{3F8FBA1B-9FE1-4983-8DDC-934E3B691A11}" name="BHSS GSD" dataDxfId="17"/>
    <tableColumn id="20" xr3:uid="{34970A8B-B69C-41DE-A249-D33CD98FE9CD}" name="EI" dataDxfId="16"/>
    <tableColumn id="21" xr3:uid="{892355C6-49A2-4FD6-BA09-8D39C7382707}" name="EI &lt;25" dataDxfId="15"/>
    <tableColumn id="22" xr3:uid="{F837FAAC-CD78-44F5-A215-BC0FE789EF16}" name="Housing" dataDxfId="14"/>
    <tableColumn id="23" xr3:uid="{D7A7315C-998E-42DF-BD0A-F24738FC1BD1}" name="Housing - Homeless" dataDxfId="13"/>
    <tableColumn id="38" xr3:uid="{708A0722-2A5D-43DE-A171-71D094762ED8}" name="BHSA Total" dataDxfId="12">
      <calculatedColumnFormula>SUM(Baseline[[#This Row],[FSP]:[Housing - Homeless]])</calculatedColumnFormula>
    </tableColumn>
    <tableColumn id="37" xr3:uid="{1CC26514-0E24-4748-AF95-5692AE81A151}" name="Not Shifting to BHSA" dataDxfId="11">
      <calculatedColumnFormula>Baseline[[#This Row],[MHSA Total]]-Baseline[[#This Row],[BHSA Total]]</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D593DF5-1355-4BAC-A81F-BDF52F9C86AC}" name="Incremental" displayName="Incremental" ref="B9:N37" totalsRowShown="0" headerRowDxfId="9">
  <tableColumns count="13">
    <tableColumn id="1" xr3:uid="{61CEDAE1-A03B-4725-8227-3507953DFCF0}" name="Sector"/>
    <tableColumn id="2" xr3:uid="{9C514AA4-412D-430A-AEB5-021E70E3DE40}" name="SFY"/>
    <tableColumn id="3" xr3:uid="{D24A9200-CF96-4E6F-875F-58672898C49B}" name="New Cost Center" dataDxfId="8"/>
    <tableColumn id="7" xr3:uid="{94FB6E06-566A-4ACA-B2A0-ED20CE0449C5}" name="Cost Center"/>
    <tableColumn id="40" xr3:uid="{68824C1F-5E2E-4B52-810B-ABF6832D26FA}" name="Comments"/>
    <tableColumn id="41" xr3:uid="{2E1F0DF3-4E0F-43DE-A43B-4A8948D6E0CC}" name="Revenue (Y/N)" dataDxfId="7"/>
    <tableColumn id="18" xr3:uid="{24A934EA-74C3-4A76-8BE2-1C31608AD554}" name="FSP" dataDxfId="6"/>
    <tableColumn id="19" xr3:uid="{CAE66FED-3F09-457E-A62D-FA0BA638832D}" name="BHSS GSD" dataDxfId="5"/>
    <tableColumn id="20" xr3:uid="{10D3A87A-EB91-498E-947D-ABED8944D891}" name="EI" dataDxfId="4"/>
    <tableColumn id="21" xr3:uid="{5E7DDB46-F92C-4E27-A75C-B920A70EB141}" name="EI &lt;25" dataDxfId="3"/>
    <tableColumn id="22" xr3:uid="{0B897B51-7444-4A68-BEC3-535ED572B0D0}" name="Housing" dataDxfId="2"/>
    <tableColumn id="23" xr3:uid="{A917B29B-05BA-4EB8-86FB-D5D923BFD1CB}" name="Housing - Homeless" dataDxfId="1"/>
    <tableColumn id="38" xr3:uid="{6921C2E0-0AAB-4627-A1A4-1E87953225D3}" name="BHSA Total" dataDxfId="0">
      <calculatedColumnFormula>SUM(Incremental[[#This Row],[FSP]:[Housing - Homeless]])</calculatedColumnFormula>
    </tableColumn>
  </tableColumns>
  <tableStyleInfo name="TableStyleMedium2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K58" dT="2025-09-29T22:33:31.47" personId="{6D04FD06-C74D-4C24-AEBB-9C7906033BA1}" id="{40A56468-897C-4FD3-AB66-1191EE526A4D}">
    <text xml:space="preserve">Flagging that counties can’t just access PR if they need it. They still have to adhere to current PR rules. </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drawing" Target="../drawings/drawing1.xm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B4B394-63E8-4ADE-8ACA-6CCC5C2551D6}">
  <sheetPr>
    <tabColor theme="0"/>
  </sheetPr>
  <dimension ref="A1:P69"/>
  <sheetViews>
    <sheetView showGridLines="0" topLeftCell="C46" zoomScale="145" zoomScaleNormal="145" workbookViewId="0">
      <selection activeCell="N64" sqref="N64"/>
    </sheetView>
  </sheetViews>
  <sheetFormatPr defaultColWidth="0" defaultRowHeight="15" zeroHeight="1"/>
  <cols>
    <col min="1" max="1" width="1.7109375" style="1" customWidth="1"/>
    <col min="2" max="2" width="14.85546875" style="1" bestFit="1" customWidth="1"/>
    <col min="3" max="3" width="9.140625" style="1" customWidth="1"/>
    <col min="4" max="4" width="9.140625" style="118" hidden="1" customWidth="1"/>
    <col min="5" max="5" width="39.85546875" style="1" customWidth="1"/>
    <col min="6" max="6" width="15.140625" style="1" bestFit="1" customWidth="1"/>
    <col min="7" max="7" width="12" style="1" bestFit="1" customWidth="1"/>
    <col min="8" max="8" width="12.7109375" style="1" bestFit="1" customWidth="1"/>
    <col min="9" max="10" width="12.85546875" style="1" bestFit="1" customWidth="1"/>
    <col min="11" max="11" width="22.42578125" style="1" customWidth="1"/>
    <col min="12" max="12" width="12.7109375" style="1" bestFit="1" customWidth="1"/>
    <col min="13" max="14" width="12.85546875" style="1" bestFit="1" customWidth="1"/>
    <col min="15" max="15" width="25.42578125" style="1" customWidth="1"/>
    <col min="16" max="16" width="2.7109375" style="1" customWidth="1"/>
    <col min="17" max="16384" width="9.140625" style="1" hidden="1"/>
  </cols>
  <sheetData>
    <row r="1" spans="2:13"/>
    <row r="2" spans="2:13" s="10" customFormat="1" ht="15.75">
      <c r="B2" s="10" t="s">
        <v>0</v>
      </c>
      <c r="D2" s="144"/>
      <c r="F2" s="1"/>
      <c r="G2" s="1"/>
      <c r="H2" s="1"/>
      <c r="I2" s="1"/>
      <c r="J2" s="1"/>
      <c r="K2" s="1"/>
      <c r="L2" s="1"/>
      <c r="M2" s="1"/>
    </row>
    <row r="3" spans="2:13"/>
    <row r="4" spans="2:13">
      <c r="B4" s="119" t="s">
        <v>1</v>
      </c>
    </row>
    <row r="5" spans="2:13" ht="15.75">
      <c r="B5" s="1" t="s">
        <v>2</v>
      </c>
      <c r="C5" s="1" t="s">
        <v>3</v>
      </c>
      <c r="D5" s="120" t="s">
        <v>4</v>
      </c>
      <c r="E5" s="121" t="s">
        <v>5</v>
      </c>
    </row>
    <row r="6" spans="2:13">
      <c r="B6" s="1" t="s">
        <v>6</v>
      </c>
      <c r="C6" s="1" t="s">
        <v>7</v>
      </c>
      <c r="E6" s="122" t="s">
        <v>8</v>
      </c>
    </row>
    <row r="7" spans="2:13">
      <c r="B7" s="1" t="s">
        <v>9</v>
      </c>
      <c r="C7" s="1" t="s">
        <v>10</v>
      </c>
      <c r="D7" s="118" t="str" cm="1">
        <f t="array" ref="D7:D9">C7:C9</f>
        <v>26-27</v>
      </c>
      <c r="E7" s="122" t="s">
        <v>11</v>
      </c>
    </row>
    <row r="8" spans="2:13">
      <c r="B8" s="1" t="s">
        <v>12</v>
      </c>
      <c r="C8" s="1" t="s">
        <v>13</v>
      </c>
      <c r="D8" s="118" t="str">
        <v>27-28</v>
      </c>
      <c r="E8" s="122" t="s">
        <v>14</v>
      </c>
    </row>
    <row r="9" spans="2:13">
      <c r="B9" s="1" t="s">
        <v>15</v>
      </c>
      <c r="C9" s="1" t="s">
        <v>16</v>
      </c>
      <c r="D9" s="118" t="str">
        <v>28-29</v>
      </c>
      <c r="E9" s="122" t="s">
        <v>17</v>
      </c>
    </row>
    <row r="10" spans="2:13"/>
    <row r="11" spans="2:13">
      <c r="B11" s="119" t="s">
        <v>18</v>
      </c>
    </row>
    <row r="12" spans="2:13" ht="15.75">
      <c r="B12" s="1" t="s">
        <v>2</v>
      </c>
      <c r="C12" s="1" t="s">
        <v>3</v>
      </c>
      <c r="E12" s="121" t="s">
        <v>5</v>
      </c>
    </row>
    <row r="13" spans="2:13">
      <c r="B13" s="1" t="s">
        <v>19</v>
      </c>
      <c r="C13" s="1" t="s">
        <v>20</v>
      </c>
      <c r="E13" s="1" t="s">
        <v>21</v>
      </c>
    </row>
    <row r="14" spans="2:13">
      <c r="B14" s="1" t="s">
        <v>22</v>
      </c>
      <c r="C14" s="1" t="s">
        <v>23</v>
      </c>
      <c r="E14" s="1" t="s">
        <v>24</v>
      </c>
    </row>
    <row r="15" spans="2:13">
      <c r="B15" s="1" t="s">
        <v>25</v>
      </c>
      <c r="C15" s="1" t="s">
        <v>26</v>
      </c>
      <c r="E15" s="1" t="s">
        <v>27</v>
      </c>
    </row>
    <row r="16" spans="2:13">
      <c r="B16" s="1" t="s">
        <v>28</v>
      </c>
      <c r="C16" s="1" t="s">
        <v>29</v>
      </c>
      <c r="E16" s="1" t="s">
        <v>30</v>
      </c>
    </row>
    <row r="17" spans="2:15">
      <c r="B17" s="1" t="s">
        <v>31</v>
      </c>
      <c r="C17" s="1" t="s">
        <v>7</v>
      </c>
      <c r="E17" s="1" t="s">
        <v>32</v>
      </c>
    </row>
    <row r="18" spans="2:15"/>
    <row r="19" spans="2:15" s="10" customFormat="1" ht="15.75">
      <c r="B19" s="10" t="s">
        <v>33</v>
      </c>
      <c r="D19" s="144"/>
      <c r="F19" s="150" t="s">
        <v>34</v>
      </c>
      <c r="G19" s="1" t="s">
        <v>35</v>
      </c>
      <c r="I19" s="1"/>
      <c r="J19" s="1"/>
      <c r="K19" s="1"/>
      <c r="L19" s="1"/>
      <c r="M19" s="1"/>
    </row>
    <row r="20" spans="2:15" ht="15.75">
      <c r="B20" s="123"/>
      <c r="H20" s="10"/>
    </row>
    <row r="21" spans="2:15">
      <c r="B21" s="123" t="s">
        <v>36</v>
      </c>
    </row>
    <row r="22" spans="2:15">
      <c r="B22" s="151"/>
    </row>
    <row r="23" spans="2:15">
      <c r="B23" s="123"/>
    </row>
    <row r="24" spans="2:15">
      <c r="B24" s="124"/>
    </row>
    <row r="25" spans="2:15" ht="15.75">
      <c r="B25" s="226" t="s">
        <v>37</v>
      </c>
      <c r="C25" s="221"/>
      <c r="D25" s="219"/>
      <c r="E25" s="219"/>
      <c r="F25" s="219"/>
      <c r="G25" s="219"/>
      <c r="H25" s="222"/>
      <c r="I25" s="222"/>
      <c r="J25" s="220"/>
      <c r="K25" s="220"/>
      <c r="L25" s="220"/>
      <c r="M25" s="220"/>
      <c r="N25" s="220"/>
      <c r="O25" s="227"/>
    </row>
    <row r="26" spans="2:15">
      <c r="B26" s="151" t="s">
        <v>38</v>
      </c>
    </row>
    <row r="27" spans="2:15">
      <c r="B27" s="123"/>
    </row>
    <row r="28" spans="2:15" s="10" customFormat="1" ht="15.75">
      <c r="B28" s="10" t="s">
        <v>39</v>
      </c>
      <c r="D28" s="144"/>
      <c r="F28" s="1"/>
      <c r="G28" s="1"/>
      <c r="H28" s="1"/>
      <c r="I28" s="1"/>
      <c r="J28" s="1"/>
      <c r="K28" s="1"/>
      <c r="L28" s="1"/>
      <c r="M28" s="1"/>
    </row>
    <row r="29" spans="2:15" ht="15.75">
      <c r="B29" s="124" t="s">
        <v>40</v>
      </c>
    </row>
    <row r="30" spans="2:15" ht="15.75">
      <c r="B30" s="124" t="s">
        <v>41</v>
      </c>
    </row>
    <row r="31" spans="2:15" ht="15.75">
      <c r="B31" s="124" t="s">
        <v>42</v>
      </c>
    </row>
    <row r="32" spans="2:15" ht="15.75">
      <c r="B32" s="124" t="s">
        <v>43</v>
      </c>
    </row>
    <row r="33" spans="2:15" ht="15.75">
      <c r="B33" s="124" t="s">
        <v>44</v>
      </c>
    </row>
    <row r="34" spans="2:15" ht="15.75">
      <c r="B34" s="124" t="s">
        <v>45</v>
      </c>
    </row>
    <row r="35" spans="2:15" ht="15.75">
      <c r="B35" s="124" t="s">
        <v>46</v>
      </c>
    </row>
    <row r="36" spans="2:15" ht="15.75">
      <c r="B36" s="124" t="s">
        <v>47</v>
      </c>
    </row>
    <row r="37" spans="2:15" ht="15.75">
      <c r="B37" s="124" t="s">
        <v>48</v>
      </c>
    </row>
    <row r="38" spans="2:15" ht="15.75">
      <c r="B38" s="124" t="s">
        <v>49</v>
      </c>
    </row>
    <row r="39" spans="2:15" ht="15.75">
      <c r="B39" s="124" t="s">
        <v>50</v>
      </c>
    </row>
    <row r="40" spans="2:15"/>
    <row r="41" spans="2:15" ht="15.75">
      <c r="B41" s="10" t="s">
        <v>51</v>
      </c>
      <c r="C41" s="10"/>
    </row>
    <row r="42" spans="2:15" ht="15.75">
      <c r="B42" s="229" t="s">
        <v>52</v>
      </c>
      <c r="C42" s="230"/>
      <c r="D42" s="231"/>
      <c r="E42" s="232"/>
      <c r="F42" s="232"/>
      <c r="G42" s="232"/>
      <c r="H42" s="232"/>
      <c r="I42" s="232"/>
      <c r="J42" s="232"/>
      <c r="K42" s="232"/>
      <c r="L42" s="232"/>
      <c r="M42" s="232"/>
      <c r="N42" s="232"/>
      <c r="O42" s="233"/>
    </row>
    <row r="43" spans="2:15" ht="15.75">
      <c r="B43" s="234" t="s">
        <v>53</v>
      </c>
      <c r="C43" s="235"/>
      <c r="D43" s="236"/>
      <c r="E43" s="237"/>
      <c r="F43" s="237"/>
      <c r="G43" s="237"/>
      <c r="H43" s="237"/>
      <c r="I43" s="237"/>
      <c r="J43" s="237"/>
      <c r="K43" s="237"/>
      <c r="L43" s="237"/>
      <c r="M43" s="237"/>
      <c r="N43" s="237"/>
      <c r="O43" s="238"/>
    </row>
    <row r="44" spans="2:15" ht="15.75">
      <c r="B44" s="124" t="s">
        <v>54</v>
      </c>
      <c r="C44" s="10"/>
    </row>
    <row r="45" spans="2:15" ht="15.75">
      <c r="B45" s="228" t="s">
        <v>55</v>
      </c>
      <c r="C45" s="10"/>
    </row>
    <row r="46" spans="2:15" ht="15.75">
      <c r="B46" s="228" t="s">
        <v>56</v>
      </c>
      <c r="C46" s="10"/>
    </row>
    <row r="47" spans="2:15" ht="15.75">
      <c r="B47" s="124"/>
      <c r="C47" s="10"/>
    </row>
    <row r="48" spans="2:15" ht="15.75">
      <c r="B48" s="10" t="s">
        <v>57</v>
      </c>
      <c r="C48" s="10"/>
    </row>
    <row r="49" spans="2:11">
      <c r="B49" s="123" t="s">
        <v>58</v>
      </c>
    </row>
    <row r="50" spans="2:11">
      <c r="B50" s="123"/>
    </row>
    <row r="51" spans="2:11">
      <c r="B51" s="123"/>
    </row>
    <row r="52" spans="2:11">
      <c r="B52" s="123"/>
    </row>
    <row r="53" spans="2:11">
      <c r="B53" s="123"/>
    </row>
    <row r="54" spans="2:11">
      <c r="B54" s="123"/>
    </row>
    <row r="55" spans="2:11"/>
    <row r="56" spans="2:11"/>
    <row r="57" spans="2:11"/>
    <row r="58" spans="2:11">
      <c r="G58" s="145" t="s">
        <v>10</v>
      </c>
      <c r="H58" s="125"/>
      <c r="I58" s="146"/>
      <c r="J58" s="146"/>
      <c r="K58" s="247"/>
    </row>
    <row r="59" spans="2:11" ht="45">
      <c r="E59" s="126" t="s">
        <v>59</v>
      </c>
      <c r="F59" s="127" t="s">
        <v>60</v>
      </c>
      <c r="G59" s="128" t="s">
        <v>61</v>
      </c>
      <c r="H59" s="129" t="s">
        <v>62</v>
      </c>
      <c r="I59" s="129" t="s">
        <v>63</v>
      </c>
      <c r="J59" s="129" t="s">
        <v>64</v>
      </c>
      <c r="K59" s="246" t="s">
        <v>65</v>
      </c>
    </row>
    <row r="60" spans="2:11">
      <c r="E60" s="130" t="s">
        <v>66</v>
      </c>
      <c r="F60" s="131"/>
      <c r="G60" s="131"/>
      <c r="H60" s="131"/>
      <c r="I60" s="132"/>
      <c r="J60" s="132"/>
      <c r="K60" s="133"/>
    </row>
    <row r="61" spans="2:11">
      <c r="E61" s="130" t="s">
        <v>67</v>
      </c>
      <c r="F61" s="131"/>
      <c r="G61" s="131"/>
      <c r="H61" s="131"/>
      <c r="I61" s="132"/>
      <c r="J61" s="132"/>
      <c r="K61" s="133"/>
    </row>
    <row r="62" spans="2:11">
      <c r="E62" s="134" t="s">
        <v>68</v>
      </c>
      <c r="F62" s="135"/>
      <c r="G62" s="135"/>
      <c r="H62" s="135"/>
      <c r="I62" s="136"/>
      <c r="J62" s="136"/>
      <c r="K62" s="137"/>
    </row>
    <row r="63" spans="2:11">
      <c r="E63" s="134" t="s">
        <v>69</v>
      </c>
      <c r="F63" s="135"/>
      <c r="G63" s="135"/>
      <c r="H63" s="135"/>
      <c r="I63" s="136"/>
      <c r="J63" s="136"/>
      <c r="K63" s="137"/>
    </row>
    <row r="64" spans="2:11">
      <c r="E64" s="134" t="s">
        <v>70</v>
      </c>
      <c r="F64" s="135"/>
      <c r="G64" s="135"/>
      <c r="H64" s="135"/>
      <c r="I64" s="136"/>
      <c r="J64" s="136"/>
      <c r="K64" s="137"/>
    </row>
    <row r="65" spans="5:11">
      <c r="E65" s="130" t="s">
        <v>71</v>
      </c>
      <c r="F65" s="131"/>
      <c r="G65" s="131"/>
      <c r="H65" s="131"/>
      <c r="I65" s="132"/>
      <c r="J65" s="132"/>
      <c r="K65" s="133"/>
    </row>
    <row r="66" spans="5:11">
      <c r="E66" s="134" t="s">
        <v>72</v>
      </c>
      <c r="F66" s="135"/>
      <c r="G66" s="135"/>
      <c r="H66" s="135"/>
      <c r="I66" s="136"/>
      <c r="J66" s="136"/>
      <c r="K66" s="137"/>
    </row>
    <row r="67" spans="5:11" ht="15.75" thickBot="1">
      <c r="E67" s="138" t="s">
        <v>73</v>
      </c>
      <c r="F67" s="139"/>
      <c r="G67" s="139"/>
      <c r="H67" s="140"/>
      <c r="I67" s="141"/>
      <c r="J67" s="141"/>
      <c r="K67" s="142"/>
    </row>
    <row r="68" spans="5:11" ht="16.5" thickTop="1">
      <c r="E68" s="143" t="s">
        <v>74</v>
      </c>
      <c r="F68" s="147"/>
      <c r="G68" s="147"/>
      <c r="H68" s="147"/>
      <c r="I68" s="148"/>
      <c r="J68" s="149"/>
      <c r="K68" s="149"/>
    </row>
    <row r="69" spans="5:11"/>
  </sheetData>
  <conditionalFormatting sqref="K60:K61">
    <cfRule type="expression" dxfId="68" priority="2">
      <formula>OR(K60&lt;$C60-$N$3,K60&gt;$C60+$N$4)</formula>
    </cfRule>
  </conditionalFormatting>
  <conditionalFormatting sqref="K62:K64">
    <cfRule type="expression" dxfId="67" priority="4">
      <formula>K$24+#REF!+#REF!&lt;&gt;K$23</formula>
    </cfRule>
  </conditionalFormatting>
  <conditionalFormatting sqref="K65">
    <cfRule type="expression" dxfId="66" priority="3">
      <formula>OR(K65&lt;$C$27-$N$3,K65&gt;$C$27+$N$4)</formula>
    </cfRule>
  </conditionalFormatting>
  <conditionalFormatting sqref="K66:K67">
    <cfRule type="expression" dxfId="65" priority="1">
      <formula>#REF!&lt;$D$28</formula>
    </cfRule>
  </conditionalFormatting>
  <pageMargins left="0.7" right="0.7" top="0.75" bottom="0.75" header="0.3" footer="0.3"/>
  <drawing r:id="rId1"/>
  <legacy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442FE-C923-482B-B072-3104BFD511A2}">
  <sheetPr>
    <tabColor theme="9" tint="0.39997558519241921"/>
  </sheetPr>
  <dimension ref="B2:Z37"/>
  <sheetViews>
    <sheetView showGridLines="0" tabSelected="1" topLeftCell="A9" zoomScale="160" zoomScaleNormal="160" workbookViewId="0">
      <selection activeCell="H23" sqref="H23"/>
    </sheetView>
  </sheetViews>
  <sheetFormatPr defaultRowHeight="15" outlineLevelRow="1"/>
  <cols>
    <col min="1" max="1" width="1.7109375" customWidth="1"/>
    <col min="2" max="2" width="39.85546875" customWidth="1"/>
    <col min="3" max="3" width="17.85546875" customWidth="1"/>
    <col min="4" max="4" width="14.5703125" bestFit="1" customWidth="1"/>
    <col min="5" max="5" width="14.7109375" bestFit="1" customWidth="1"/>
    <col min="6" max="6" width="14.28515625" bestFit="1" customWidth="1"/>
    <col min="7" max="7" width="12.85546875" bestFit="1" customWidth="1"/>
    <col min="8" max="8" width="16.140625" bestFit="1" customWidth="1"/>
    <col min="9" max="9" width="1.85546875" customWidth="1"/>
    <col min="10" max="10" width="12" bestFit="1" customWidth="1"/>
    <col min="11" max="12" width="12.85546875" bestFit="1" customWidth="1"/>
    <col min="13" max="13" width="13.85546875" bestFit="1" customWidth="1"/>
    <col min="14" max="14" width="14.7109375" bestFit="1" customWidth="1"/>
    <col min="15" max="15" width="0.85546875" customWidth="1"/>
    <col min="16" max="16" width="12" bestFit="1" customWidth="1"/>
    <col min="17" max="17" width="12.7109375" bestFit="1" customWidth="1"/>
    <col min="18" max="19" width="12.85546875" bestFit="1" customWidth="1"/>
    <col min="20" max="20" width="14.7109375" bestFit="1" customWidth="1"/>
    <col min="21" max="21" width="0.85546875" customWidth="1"/>
    <col min="22" max="24" width="13.28515625" bestFit="1" customWidth="1"/>
    <col min="25" max="25" width="12" bestFit="1" customWidth="1"/>
    <col min="26" max="26" width="12.85546875" bestFit="1" customWidth="1"/>
  </cols>
  <sheetData>
    <row r="2" spans="2:22">
      <c r="B2" s="270" t="s">
        <v>75</v>
      </c>
      <c r="C2" s="272">
        <v>0</v>
      </c>
    </row>
    <row r="3" spans="2:22">
      <c r="B3" s="271" t="s">
        <v>76</v>
      </c>
      <c r="C3" s="273"/>
      <c r="G3" s="32" t="s">
        <v>77</v>
      </c>
      <c r="H3" s="32"/>
      <c r="K3" s="42" t="s">
        <v>78</v>
      </c>
      <c r="L3" s="98"/>
      <c r="M3" s="98"/>
      <c r="N3" s="43"/>
    </row>
    <row r="4" spans="2:22">
      <c r="B4" s="271" t="s">
        <v>79</v>
      </c>
      <c r="C4" s="273"/>
      <c r="G4" s="4" t="s">
        <v>80</v>
      </c>
      <c r="H4" s="4" t="s">
        <v>81</v>
      </c>
      <c r="K4" s="291" t="s">
        <v>82</v>
      </c>
      <c r="L4" s="99" t="s">
        <v>83</v>
      </c>
      <c r="M4" s="100"/>
      <c r="N4" s="103">
        <v>7.0000000000000007E-2</v>
      </c>
    </row>
    <row r="5" spans="2:22" ht="15.75">
      <c r="B5" s="271" t="s">
        <v>84</v>
      </c>
      <c r="C5" s="273"/>
      <c r="G5" s="5" t="s">
        <v>85</v>
      </c>
      <c r="H5" s="2">
        <f>SUMIFS(Baseline[CSS FSP],Baseline[Revenue (Y/N)],"N")</f>
        <v>26801732.666914288</v>
      </c>
      <c r="K5" s="291"/>
      <c r="L5" s="101" t="s">
        <v>86</v>
      </c>
      <c r="M5" s="102"/>
      <c r="N5" s="103">
        <v>0.14000000000000001</v>
      </c>
    </row>
    <row r="6" spans="2:22" ht="16.5" thickBot="1">
      <c r="G6" s="5" t="s">
        <v>87</v>
      </c>
      <c r="H6" s="2">
        <f>SUMIFS(Baseline[CSS GSD],Baseline[Revenue (Y/N)],"N")</f>
        <v>26271005.287371427</v>
      </c>
      <c r="K6" s="292" t="s">
        <v>88</v>
      </c>
      <c r="L6" s="101" t="s">
        <v>89</v>
      </c>
      <c r="M6" s="102"/>
      <c r="N6" s="103">
        <v>0.51</v>
      </c>
    </row>
    <row r="7" spans="2:22" ht="15.75">
      <c r="B7" s="215" t="s">
        <v>90</v>
      </c>
      <c r="C7" s="216">
        <v>1.1513137667551458E-2</v>
      </c>
      <c r="D7" s="208"/>
      <c r="G7" s="5" t="s">
        <v>91</v>
      </c>
      <c r="H7" s="2">
        <f>SUMIFS(Baseline[PEI],Baseline[Revenue (Y/N)],"N")</f>
        <v>6773418</v>
      </c>
      <c r="K7" s="292"/>
      <c r="L7" s="101" t="s">
        <v>92</v>
      </c>
      <c r="M7" s="102"/>
      <c r="N7" s="103">
        <v>0.51</v>
      </c>
    </row>
    <row r="8" spans="2:22" ht="15.75">
      <c r="B8" s="209" t="s">
        <v>93</v>
      </c>
      <c r="C8" s="206"/>
      <c r="D8" s="210"/>
      <c r="G8" s="5" t="s">
        <v>94</v>
      </c>
      <c r="H8" s="2">
        <f>SUMIFS(Baseline[INN],Baseline[Revenue (Y/N)],"N")</f>
        <v>2592403</v>
      </c>
      <c r="K8" s="292"/>
      <c r="L8" s="101" t="s">
        <v>95</v>
      </c>
      <c r="M8" s="102"/>
      <c r="N8" s="103">
        <v>0.5</v>
      </c>
    </row>
    <row r="9" spans="2:22" ht="16.5" thickBot="1">
      <c r="B9" s="211" t="s">
        <v>3</v>
      </c>
      <c r="C9" s="207" t="s">
        <v>96</v>
      </c>
      <c r="D9" s="212" t="s">
        <v>97</v>
      </c>
      <c r="E9" s="275"/>
      <c r="G9" s="5" t="s">
        <v>98</v>
      </c>
      <c r="H9" s="2">
        <f>SUMIFS(Baseline[CFTN],Baseline[Revenue (Y/N)],"N")</f>
        <v>395925</v>
      </c>
    </row>
    <row r="10" spans="2:22" ht="15.75">
      <c r="B10" s="213" t="str" cm="1">
        <f t="array" ref="B10:B12">Instructions!C7:C9</f>
        <v>26-27</v>
      </c>
      <c r="C10" s="7">
        <v>3460100000</v>
      </c>
      <c r="D10" s="214">
        <f>C10*$C$7</f>
        <v>39836607.6434948</v>
      </c>
      <c r="G10" s="5" t="s">
        <v>99</v>
      </c>
      <c r="H10" s="2">
        <f>SUMIFS(Baseline[WET],Baseline[Revenue (Y/N)],"N")</f>
        <v>746878</v>
      </c>
    </row>
    <row r="11" spans="2:22" ht="15.75">
      <c r="B11" s="213" t="str">
        <v>27-28</v>
      </c>
      <c r="C11" s="8">
        <v>3390300000</v>
      </c>
      <c r="D11" s="214">
        <f>C11*$C$7</f>
        <v>39032990.63429971</v>
      </c>
      <c r="G11" s="5" t="s">
        <v>100</v>
      </c>
      <c r="H11" s="2">
        <f>SUMIFS(Baseline[MHSA Total],Baseline[Revenue (Y/N)],"Y")</f>
        <v>-18225962</v>
      </c>
      <c r="R11" s="21"/>
    </row>
    <row r="12" spans="2:22" ht="16.5" thickBot="1">
      <c r="B12" s="217" t="str">
        <v>28-29</v>
      </c>
      <c r="C12" s="9">
        <v>3368100000</v>
      </c>
      <c r="D12" s="218">
        <f>C12*$C$7</f>
        <v>38777398.978080064</v>
      </c>
      <c r="G12" s="3" t="s">
        <v>101</v>
      </c>
      <c r="H12" s="6">
        <f>SUM(H5:H11)</f>
        <v>45355399.954285711</v>
      </c>
      <c r="I12" s="77"/>
      <c r="J12" s="77"/>
      <c r="R12" s="21"/>
    </row>
    <row r="13" spans="2:22">
      <c r="B13" s="20"/>
      <c r="C13" s="30"/>
      <c r="D13" s="30"/>
      <c r="E13" s="31"/>
      <c r="F13" s="153"/>
      <c r="G13" s="20"/>
      <c r="H13" s="31"/>
      <c r="I13" s="20"/>
    </row>
    <row r="14" spans="2:22">
      <c r="B14" s="20"/>
      <c r="C14" s="30"/>
      <c r="D14" s="51" t="str">
        <f>_xlfn.XLOOKUP("Proj 1",Period_Names[Period Name],Period_Names[FY])</f>
        <v>26-27</v>
      </c>
      <c r="E14" s="154"/>
      <c r="F14" s="154"/>
      <c r="G14" s="20"/>
      <c r="H14" s="20"/>
      <c r="I14" s="20"/>
      <c r="J14" s="53" t="str">
        <f>_xlfn.XLOOKUP("Proj 2",Period_Names[Period Name],Period_Names[FY])</f>
        <v>27-28</v>
      </c>
      <c r="P14" s="54" t="str">
        <f>_xlfn.XLOOKUP("Proj 3",Period_Names[Period Name],Period_Names[FY])</f>
        <v>28-29</v>
      </c>
    </row>
    <row r="15" spans="2:22">
      <c r="B15" s="41" t="s">
        <v>102</v>
      </c>
      <c r="C15" s="59"/>
      <c r="D15" s="67">
        <v>0.03</v>
      </c>
      <c r="E15" s="59"/>
      <c r="F15" s="59"/>
      <c r="G15" s="59"/>
      <c r="H15" s="59"/>
      <c r="I15" s="60"/>
      <c r="J15" s="68">
        <v>0.03</v>
      </c>
      <c r="K15" s="61"/>
      <c r="L15" s="62"/>
      <c r="M15" s="62"/>
      <c r="N15" s="62"/>
      <c r="O15" s="63"/>
      <c r="P15" s="68">
        <v>0.03</v>
      </c>
      <c r="Q15" s="17"/>
      <c r="V15" s="17"/>
    </row>
    <row r="16" spans="2:22">
      <c r="B16" s="41" t="s">
        <v>103</v>
      </c>
      <c r="C16" s="52"/>
      <c r="D16" s="257">
        <f>D10</f>
        <v>39836607.6434948</v>
      </c>
      <c r="E16" s="152"/>
      <c r="F16" s="52"/>
      <c r="G16" s="52"/>
      <c r="H16" s="52"/>
      <c r="I16" s="55"/>
      <c r="J16" s="257">
        <f>$D$11</f>
        <v>39032990.63429971</v>
      </c>
      <c r="K16" s="56"/>
      <c r="L16" s="57"/>
      <c r="M16" s="57"/>
      <c r="N16" s="57"/>
      <c r="O16" s="58"/>
      <c r="P16" s="257">
        <f>$D$12</f>
        <v>38777398.978080064</v>
      </c>
      <c r="Q16" s="17"/>
      <c r="R16" s="17"/>
    </row>
    <row r="17" spans="2:26">
      <c r="B17" s="41" t="s">
        <v>104</v>
      </c>
      <c r="C17" s="274">
        <v>0</v>
      </c>
      <c r="D17" s="257">
        <f>D16+C17</f>
        <v>39836607.6434948</v>
      </c>
      <c r="E17" s="59"/>
      <c r="F17" s="59"/>
      <c r="G17" s="59"/>
      <c r="H17" s="274">
        <v>0</v>
      </c>
      <c r="I17" s="60"/>
      <c r="J17" s="257">
        <f>J16+H17</f>
        <v>39032990.63429971</v>
      </c>
      <c r="K17" s="61"/>
      <c r="L17" s="62"/>
      <c r="M17" s="62"/>
      <c r="N17" s="274">
        <v>0</v>
      </c>
      <c r="O17" s="63"/>
      <c r="P17" s="257">
        <f>P16+N17</f>
        <v>38777398.978080064</v>
      </c>
      <c r="Q17" s="17"/>
      <c r="R17" s="17"/>
    </row>
    <row r="18" spans="2:26">
      <c r="F18" s="258"/>
      <c r="J18" s="223"/>
      <c r="K18" s="17"/>
      <c r="L18" s="17"/>
      <c r="M18" s="17"/>
      <c r="N18" s="17"/>
      <c r="O18" s="17"/>
      <c r="P18" s="223"/>
      <c r="Q18" s="17"/>
      <c r="R18" s="17"/>
    </row>
    <row r="19" spans="2:26">
      <c r="D19" s="242" t="s">
        <v>105</v>
      </c>
      <c r="E19" s="243"/>
      <c r="F19" s="242"/>
      <c r="G19" s="242"/>
      <c r="H19" s="242"/>
      <c r="I19" s="242"/>
      <c r="J19" s="244"/>
      <c r="K19" s="244"/>
      <c r="L19" s="245"/>
      <c r="M19" s="245"/>
      <c r="N19" s="245"/>
      <c r="O19" s="245"/>
      <c r="P19" s="245"/>
    </row>
    <row r="20" spans="2:26">
      <c r="D20" s="81" t="str">
        <f>D14</f>
        <v>26-27</v>
      </c>
      <c r="E20" s="82"/>
      <c r="F20" s="83"/>
      <c r="G20" s="83"/>
      <c r="H20" s="84"/>
      <c r="J20" s="91" t="str">
        <f>J14</f>
        <v>27-28</v>
      </c>
      <c r="K20" s="92"/>
      <c r="L20" s="92"/>
      <c r="M20" s="92"/>
      <c r="N20" s="93"/>
      <c r="O20" s="17"/>
      <c r="P20" s="94" t="str">
        <f>P14</f>
        <v>28-29</v>
      </c>
      <c r="Q20" s="95"/>
      <c r="R20" s="95"/>
      <c r="S20" s="95"/>
      <c r="T20" s="96"/>
      <c r="V20" s="65" t="s">
        <v>106</v>
      </c>
      <c r="W20" s="66"/>
      <c r="X20" s="44"/>
      <c r="Y20" s="44"/>
      <c r="Z20" s="44"/>
    </row>
    <row r="21" spans="2:26" ht="43.5" customHeight="1">
      <c r="B21" s="25" t="s">
        <v>59</v>
      </c>
      <c r="C21" s="80" t="s">
        <v>60</v>
      </c>
      <c r="D21" s="85" t="s">
        <v>61</v>
      </c>
      <c r="E21" s="33" t="s">
        <v>62</v>
      </c>
      <c r="F21" s="33" t="s">
        <v>63</v>
      </c>
      <c r="G21" s="33" t="s">
        <v>64</v>
      </c>
      <c r="H21" s="260" t="s">
        <v>65</v>
      </c>
      <c r="J21" s="26" t="s">
        <v>61</v>
      </c>
      <c r="K21" s="37" t="s">
        <v>62</v>
      </c>
      <c r="L21" s="90" t="s">
        <v>63</v>
      </c>
      <c r="M21" s="50" t="s">
        <v>64</v>
      </c>
      <c r="N21" s="263" t="s">
        <v>65</v>
      </c>
      <c r="O21" s="17"/>
      <c r="P21" s="27" t="s">
        <v>61</v>
      </c>
      <c r="Q21" s="69" t="s">
        <v>62</v>
      </c>
      <c r="R21" s="89" t="s">
        <v>63</v>
      </c>
      <c r="S21" s="49" t="s">
        <v>64</v>
      </c>
      <c r="T21" s="262" t="s">
        <v>107</v>
      </c>
      <c r="V21" s="97" t="s">
        <v>63</v>
      </c>
      <c r="W21" s="64" t="s">
        <v>64</v>
      </c>
      <c r="X21" s="261" t="s">
        <v>108</v>
      </c>
      <c r="Y21" s="97" t="s">
        <v>61</v>
      </c>
      <c r="Z21" s="64" t="s">
        <v>62</v>
      </c>
    </row>
    <row r="22" spans="2:26">
      <c r="B22" s="22" t="s">
        <v>66</v>
      </c>
      <c r="C22" s="34">
        <v>0.35</v>
      </c>
      <c r="D22" s="48">
        <v>0.35</v>
      </c>
      <c r="E22" s="75">
        <f>G22/$G$30</f>
        <v>0.35</v>
      </c>
      <c r="F22" s="38">
        <f>D$17*D22</f>
        <v>13942812.675223179</v>
      </c>
      <c r="G22" s="38">
        <f>SUM(Baseline[FSP])*(1+$D$15)+SUMIFS(Incremental[FSP],Incremental[SFY],D$20)</f>
        <v>14181364.890000001</v>
      </c>
      <c r="H22" s="86">
        <f>F22-G22</f>
        <v>-238552.21477682143</v>
      </c>
      <c r="I22" s="21"/>
      <c r="J22" s="48">
        <v>0.35</v>
      </c>
      <c r="K22" s="75">
        <f>M22/M$30</f>
        <v>0.353431373797575</v>
      </c>
      <c r="L22" s="38">
        <f t="shared" ref="L22:L29" si="0">J$17*J22</f>
        <v>13661546.722004898</v>
      </c>
      <c r="M22" s="38">
        <f>G22*(1+J$15)+SUMIFS(Incremental[FSP],Incremental[SFY],J$20)</f>
        <v>14606805.836700002</v>
      </c>
      <c r="N22" s="86">
        <f>L22-M22</f>
        <v>-945259.11469510384</v>
      </c>
      <c r="O22" s="17"/>
      <c r="P22" s="48">
        <v>0.35</v>
      </c>
      <c r="Q22" s="75">
        <f>S22/S$30</f>
        <v>0.35343137379757494</v>
      </c>
      <c r="R22" s="38">
        <f t="shared" ref="R22:R29" si="1">P$17*P22</f>
        <v>13572089.642328022</v>
      </c>
      <c r="S22" s="38">
        <f>M22*(1+P$15)+SUMIFS(Incremental[FSP],Incremental[SFY],P$20)</f>
        <v>15045010.011801003</v>
      </c>
      <c r="T22" s="86">
        <f>R22-S22</f>
        <v>-1472920.3694729805</v>
      </c>
      <c r="V22" s="45">
        <f t="shared" ref="V22:W29" si="2">F22+L22+R22</f>
        <v>41176449.039556101</v>
      </c>
      <c r="W22" s="38">
        <f t="shared" si="2"/>
        <v>43833180.738501005</v>
      </c>
      <c r="X22" s="38">
        <f t="shared" ref="X22:X29" si="3">H22+N22+T22</f>
        <v>-2656731.6989449058</v>
      </c>
      <c r="Y22" s="75">
        <f>V22/V$30</f>
        <v>0.35</v>
      </c>
      <c r="Z22" s="75">
        <f t="shared" ref="Z22:Z29" si="4">W22/W$30</f>
        <v>0.35231388086272536</v>
      </c>
    </row>
    <row r="23" spans="2:26">
      <c r="B23" s="22" t="s">
        <v>67</v>
      </c>
      <c r="C23" s="34">
        <v>0.35</v>
      </c>
      <c r="D23" s="48">
        <v>0.35</v>
      </c>
      <c r="E23" s="75">
        <f t="shared" ref="E23:E29" si="5">G23/$G$30</f>
        <v>0.35</v>
      </c>
      <c r="F23" s="38">
        <f t="shared" ref="F23:F29" si="6">D$17*D23</f>
        <v>13942812.675223179</v>
      </c>
      <c r="G23" s="38">
        <f>SUM(G24:G26)</f>
        <v>14181364.890000001</v>
      </c>
      <c r="H23" s="86">
        <f t="shared" ref="H23:H29" si="7">F23-G23</f>
        <v>-238552.21477682143</v>
      </c>
      <c r="J23" s="48">
        <v>0.35</v>
      </c>
      <c r="K23" s="75">
        <f t="shared" ref="K23:K29" si="8">M23/M$30</f>
        <v>0.34362744866164657</v>
      </c>
      <c r="L23" s="38">
        <f t="shared" si="0"/>
        <v>13661546.722004898</v>
      </c>
      <c r="M23" s="38">
        <f>SUM(M24:M26)</f>
        <v>14201623.8367</v>
      </c>
      <c r="N23" s="86">
        <f t="shared" ref="N23:N29" si="9">L23-M23</f>
        <v>-540077.11469510198</v>
      </c>
      <c r="O23" s="17"/>
      <c r="P23" s="48">
        <v>0.35</v>
      </c>
      <c r="Q23" s="75">
        <f t="shared" ref="Q23:Q29" si="10">S23/S$30</f>
        <v>0.34362744866164652</v>
      </c>
      <c r="R23" s="38">
        <f t="shared" si="1"/>
        <v>13572089.642328022</v>
      </c>
      <c r="S23" s="38">
        <f>SUM(S24:S26)</f>
        <v>14627672.551801002</v>
      </c>
      <c r="T23" s="86">
        <f t="shared" ref="T23:T29" si="11">R23-S23</f>
        <v>-1055582.9094729796</v>
      </c>
      <c r="V23" s="45">
        <f t="shared" si="2"/>
        <v>41176449.039556101</v>
      </c>
      <c r="W23" s="38">
        <f t="shared" si="2"/>
        <v>43010661.278501004</v>
      </c>
      <c r="X23" s="38">
        <f t="shared" si="3"/>
        <v>-1834212.238944903</v>
      </c>
      <c r="Y23" s="75">
        <f t="shared" ref="Y23:Y29" si="12">V23/V$30</f>
        <v>0.35</v>
      </c>
      <c r="Z23" s="75">
        <f t="shared" si="4"/>
        <v>0.34570279268351001</v>
      </c>
    </row>
    <row r="24" spans="2:26" outlineLevel="1">
      <c r="B24" s="23" t="s">
        <v>68</v>
      </c>
      <c r="C24" s="35">
        <f>$N$6*(1-$N$7)*C$23</f>
        <v>8.7465000000000001E-2</v>
      </c>
      <c r="D24" s="76">
        <f>$N$6*(1-$N$7)*D$23</f>
        <v>8.7465000000000001E-2</v>
      </c>
      <c r="E24" s="76">
        <f t="shared" si="5"/>
        <v>0.12340119728066595</v>
      </c>
      <c r="F24" s="39">
        <f t="shared" si="6"/>
        <v>3484308.8875382729</v>
      </c>
      <c r="G24" s="39">
        <f>SUM(Baseline[EI])*(1+$D$15)+SUMIFS(Incremental[EI],Incremental[SFY],D$20)</f>
        <v>4999992.59</v>
      </c>
      <c r="H24" s="87">
        <f t="shared" si="7"/>
        <v>-1515683.702461727</v>
      </c>
      <c r="J24" s="76">
        <f>$N$6*(1-$N$7)*J$23</f>
        <v>8.7465000000000001E-2</v>
      </c>
      <c r="K24" s="76">
        <f t="shared" si="8"/>
        <v>0.11970905081252536</v>
      </c>
      <c r="L24" s="39">
        <f t="shared" si="0"/>
        <v>3414020.5258290241</v>
      </c>
      <c r="M24" s="39">
        <f>G24*(1+J$15)+SUMIFS(Incremental[EI],Incremental[SFY],J$20)</f>
        <v>4947401.3677000003</v>
      </c>
      <c r="N24" s="87">
        <f t="shared" si="9"/>
        <v>-1533380.8418709761</v>
      </c>
      <c r="O24" s="17"/>
      <c r="P24" s="76">
        <f>$N$6*(1-$N$7)*P$23</f>
        <v>8.7465000000000001E-2</v>
      </c>
      <c r="Q24" s="76">
        <f t="shared" si="10"/>
        <v>0.11970905081252535</v>
      </c>
      <c r="R24" s="39">
        <f t="shared" si="1"/>
        <v>3391665.2016177727</v>
      </c>
      <c r="S24" s="39">
        <f>M24*(1+P$15)+SUMIFS(Incremental[EI],Incremental[SFY],P$20)</f>
        <v>5095823.4087310005</v>
      </c>
      <c r="T24" s="87">
        <f t="shared" si="11"/>
        <v>-1704158.2071132278</v>
      </c>
      <c r="V24" s="46">
        <f t="shared" si="2"/>
        <v>10289994.614985071</v>
      </c>
      <c r="W24" s="39">
        <f t="shared" si="2"/>
        <v>15043217.366431</v>
      </c>
      <c r="X24" s="39">
        <f t="shared" si="3"/>
        <v>-4753222.7514459305</v>
      </c>
      <c r="Y24" s="76">
        <f t="shared" si="12"/>
        <v>8.7465000000000015E-2</v>
      </c>
      <c r="Z24" s="76">
        <f>W24/W$30</f>
        <v>0.12091146938770153</v>
      </c>
    </row>
    <row r="25" spans="2:26" outlineLevel="1">
      <c r="B25" s="23" t="s">
        <v>69</v>
      </c>
      <c r="C25" s="35">
        <f>$N$6*$N$7*C$23</f>
        <v>9.1034999999999991E-2</v>
      </c>
      <c r="D25" s="76">
        <f>$N$6*$N$7*D$23</f>
        <v>9.1034999999999991E-2</v>
      </c>
      <c r="E25" s="76">
        <f t="shared" si="5"/>
        <v>0.13116450841848409</v>
      </c>
      <c r="F25" s="39">
        <f t="shared" si="6"/>
        <v>3626525.5768255489</v>
      </c>
      <c r="G25" s="39">
        <f>SUM(Baseline[EI &lt;25])*(1+$D$15)+SUMIFS(Incremental[EI &lt;25],Incremental[SFY],D$20)</f>
        <v>5314547.87</v>
      </c>
      <c r="H25" s="87">
        <f t="shared" si="7"/>
        <v>-1688022.2931744512</v>
      </c>
      <c r="J25" s="76">
        <f>$N$6*$N$7*J$23</f>
        <v>9.1034999999999991E-2</v>
      </c>
      <c r="K25" s="76">
        <f t="shared" si="8"/>
        <v>0.12754847287154561</v>
      </c>
      <c r="L25" s="39">
        <f t="shared" si="0"/>
        <v>3553368.3023934737</v>
      </c>
      <c r="M25" s="39">
        <f>G25*(1+J$15)+SUMIFS(Incremental[EI &lt;25],Incremental[SFY],J$20)</f>
        <v>5271393.3061000006</v>
      </c>
      <c r="N25" s="87">
        <f t="shared" si="9"/>
        <v>-1718025.0037065269</v>
      </c>
      <c r="O25" s="17"/>
      <c r="P25" s="76">
        <f>$N$6*$N$7*P$23</f>
        <v>9.1034999999999991E-2</v>
      </c>
      <c r="Q25" s="76">
        <f t="shared" si="10"/>
        <v>0.12754847287154558</v>
      </c>
      <c r="R25" s="39">
        <f t="shared" si="1"/>
        <v>3530100.5159695181</v>
      </c>
      <c r="S25" s="39">
        <f>M25*(1+P$15)+SUMIFS(Incremental[EI &lt;25],Incremental[SFY],P$20)</f>
        <v>5429535.1052830005</v>
      </c>
      <c r="T25" s="87">
        <f t="shared" si="11"/>
        <v>-1899434.5893134824</v>
      </c>
      <c r="V25" s="46">
        <f t="shared" si="2"/>
        <v>10709994.39518854</v>
      </c>
      <c r="W25" s="39">
        <f t="shared" si="2"/>
        <v>16015476.281383</v>
      </c>
      <c r="X25" s="39">
        <f t="shared" si="3"/>
        <v>-5305481.8861944601</v>
      </c>
      <c r="Y25" s="76">
        <f t="shared" si="12"/>
        <v>9.1034999999999991E-2</v>
      </c>
      <c r="Z25" s="76">
        <f>W25/W$30</f>
        <v>0.12872610446001445</v>
      </c>
    </row>
    <row r="26" spans="2:26" outlineLevel="1">
      <c r="B26" s="23" t="s">
        <v>70</v>
      </c>
      <c r="C26" s="35">
        <f>C23-C24-C25</f>
        <v>0.17149999999999999</v>
      </c>
      <c r="D26" s="24">
        <f>D23-D24-D25</f>
        <v>0.17149999999999999</v>
      </c>
      <c r="E26" s="24">
        <f t="shared" si="5"/>
        <v>9.543429430084989E-2</v>
      </c>
      <c r="F26" s="39">
        <f t="shared" si="6"/>
        <v>6831978.2108593574</v>
      </c>
      <c r="G26" s="39">
        <f>SUM(Baseline[BHSS GSD])*(1+$D$15)+SUMIFS(Incremental[BHSS GSD],Incremental[SFY],D$20)</f>
        <v>3866824.4299999997</v>
      </c>
      <c r="H26" s="87">
        <f t="shared" si="7"/>
        <v>2965153.7808593577</v>
      </c>
      <c r="J26" s="24">
        <f>J23-J24-J25</f>
        <v>0.17149999999999999</v>
      </c>
      <c r="K26" s="24">
        <f t="shared" si="8"/>
        <v>9.63699249775756E-2</v>
      </c>
      <c r="L26" s="39">
        <f t="shared" si="0"/>
        <v>6694157.8937823996</v>
      </c>
      <c r="M26" s="39">
        <f>G26*(1+J$15)+SUMIFS(Incremental[BHSS GSD],Incremental[SFY],J$20)</f>
        <v>3982829.1628999999</v>
      </c>
      <c r="N26" s="87">
        <f t="shared" si="9"/>
        <v>2711328.7308823997</v>
      </c>
      <c r="O26" s="17"/>
      <c r="P26" s="24">
        <f>P23-P24-P25</f>
        <v>0.17149999999999999</v>
      </c>
      <c r="Q26" s="24">
        <f t="shared" si="10"/>
        <v>9.63699249775756E-2</v>
      </c>
      <c r="R26" s="39">
        <f t="shared" si="1"/>
        <v>6650323.9247407308</v>
      </c>
      <c r="S26" s="39">
        <f>M26*(1+P$15)+SUMIFS(Incremental[BHSS GSD],Incremental[SFY],P$20)</f>
        <v>4102314.0377870002</v>
      </c>
      <c r="T26" s="87">
        <f t="shared" si="11"/>
        <v>2548009.8869537306</v>
      </c>
      <c r="V26" s="46">
        <f t="shared" si="2"/>
        <v>20176460.02938249</v>
      </c>
      <c r="W26" s="39">
        <f t="shared" si="2"/>
        <v>11951967.630687</v>
      </c>
      <c r="X26" s="39">
        <f t="shared" si="3"/>
        <v>8224492.3986954875</v>
      </c>
      <c r="Y26" s="24">
        <f t="shared" si="12"/>
        <v>0.17150000000000001</v>
      </c>
      <c r="Z26" s="24">
        <f>W26/W$30</f>
        <v>9.6065218835794011E-2</v>
      </c>
    </row>
    <row r="27" spans="2:26">
      <c r="B27" s="22" t="s">
        <v>71</v>
      </c>
      <c r="C27" s="34">
        <v>0.3</v>
      </c>
      <c r="D27" s="48">
        <v>0.3</v>
      </c>
      <c r="E27" s="75">
        <f t="shared" si="5"/>
        <v>0.3</v>
      </c>
      <c r="F27" s="38">
        <f t="shared" si="6"/>
        <v>11950982.29304844</v>
      </c>
      <c r="G27" s="38">
        <f>SUM(G28:G29)</f>
        <v>12155455.620000001</v>
      </c>
      <c r="H27" s="86">
        <f t="shared" si="7"/>
        <v>-204473.3269515615</v>
      </c>
      <c r="J27" s="48">
        <v>0.3</v>
      </c>
      <c r="K27" s="75">
        <f t="shared" si="8"/>
        <v>0.30294117754077859</v>
      </c>
      <c r="L27" s="38">
        <f t="shared" si="0"/>
        <v>11709897.190289913</v>
      </c>
      <c r="M27" s="38">
        <f>SUM(M28:M29)</f>
        <v>12520119.288600001</v>
      </c>
      <c r="N27" s="86">
        <f t="shared" si="9"/>
        <v>-810222.09831008874</v>
      </c>
      <c r="O27" s="17"/>
      <c r="P27" s="48">
        <v>0.3</v>
      </c>
      <c r="Q27" s="75">
        <f t="shared" si="10"/>
        <v>0.30294117754077854</v>
      </c>
      <c r="R27" s="38">
        <f t="shared" si="1"/>
        <v>11633219.693424018</v>
      </c>
      <c r="S27" s="38">
        <f>SUM(S28:S29)</f>
        <v>12895722.867258001</v>
      </c>
      <c r="T27" s="86">
        <f t="shared" si="11"/>
        <v>-1262503.173833983</v>
      </c>
      <c r="V27" s="45">
        <f t="shared" si="2"/>
        <v>35294099.176762372</v>
      </c>
      <c r="W27" s="38">
        <f t="shared" si="2"/>
        <v>37571297.775858</v>
      </c>
      <c r="X27" s="38">
        <f t="shared" si="3"/>
        <v>-2277198.5990956333</v>
      </c>
      <c r="Y27" s="75">
        <f t="shared" si="12"/>
        <v>0.3</v>
      </c>
      <c r="Z27" s="75">
        <f t="shared" si="4"/>
        <v>0.30198332645376458</v>
      </c>
    </row>
    <row r="28" spans="2:26" outlineLevel="1">
      <c r="B28" s="23" t="s">
        <v>72</v>
      </c>
      <c r="C28" s="35">
        <f>C$27*$N$8</f>
        <v>0.15</v>
      </c>
      <c r="D28" s="76">
        <f>D$27*$N$8</f>
        <v>0.15</v>
      </c>
      <c r="E28" s="76">
        <f t="shared" si="5"/>
        <v>0.15</v>
      </c>
      <c r="F28" s="39">
        <f t="shared" si="6"/>
        <v>5975491.1465242198</v>
      </c>
      <c r="G28" s="39">
        <f>SUM(Baseline[Housing - Homeless])*(1+$D$15)+SUMIFS(Incremental[Housing - Homeless],Incremental[SFY],D$20)</f>
        <v>6077727.8100000005</v>
      </c>
      <c r="H28" s="87">
        <f t="shared" si="7"/>
        <v>-102236.66347578075</v>
      </c>
      <c r="J28" s="76">
        <f>J$27*$N$8</f>
        <v>0.15</v>
      </c>
      <c r="K28" s="76">
        <f t="shared" si="8"/>
        <v>0.1514705887703893</v>
      </c>
      <c r="L28" s="39">
        <f t="shared" si="0"/>
        <v>5854948.5951449564</v>
      </c>
      <c r="M28" s="39">
        <f>G28*(1+J$15)+SUMIFS(Incremental[Housing - Homeless],Incremental[SFY],J$20)</f>
        <v>6260059.6443000007</v>
      </c>
      <c r="N28" s="87">
        <f t="shared" si="9"/>
        <v>-405111.04915504437</v>
      </c>
      <c r="O28" s="17"/>
      <c r="P28" s="76">
        <f>P$27*$N$8</f>
        <v>0.15</v>
      </c>
      <c r="Q28" s="76">
        <f t="shared" si="10"/>
        <v>0.15147058877038927</v>
      </c>
      <c r="R28" s="39">
        <f t="shared" si="1"/>
        <v>5816609.846712009</v>
      </c>
      <c r="S28" s="39">
        <f>M28*(1+P$15)+SUMIFS(Incremental[Housing - Homeless],Incremental[SFY],P$20)</f>
        <v>6447861.4336290006</v>
      </c>
      <c r="T28" s="87">
        <f t="shared" si="11"/>
        <v>-631251.58691699151</v>
      </c>
      <c r="V28" s="46">
        <f t="shared" si="2"/>
        <v>17647049.588381186</v>
      </c>
      <c r="W28" s="39">
        <f t="shared" si="2"/>
        <v>18785648.887929</v>
      </c>
      <c r="X28" s="39">
        <f t="shared" si="3"/>
        <v>-1138599.2995478166</v>
      </c>
      <c r="Y28" s="76">
        <f t="shared" si="12"/>
        <v>0.15</v>
      </c>
      <c r="Z28" s="76">
        <f t="shared" si="4"/>
        <v>0.15099166322688229</v>
      </c>
    </row>
    <row r="29" spans="2:26" ht="15.75" outlineLevel="1" thickBot="1">
      <c r="B29" s="28" t="s">
        <v>73</v>
      </c>
      <c r="C29" s="36">
        <f>C27-C28</f>
        <v>0.15</v>
      </c>
      <c r="D29" s="29">
        <f>D27-D28</f>
        <v>0.15</v>
      </c>
      <c r="E29" s="29">
        <f t="shared" si="5"/>
        <v>0.15</v>
      </c>
      <c r="F29" s="40">
        <f t="shared" si="6"/>
        <v>5975491.1465242198</v>
      </c>
      <c r="G29" s="40">
        <f>SUM(Baseline[Housing])*(1+$D$15)+SUMIFS(Incremental[Housing],Incremental[SFY],D$20)</f>
        <v>6077727.8100000005</v>
      </c>
      <c r="H29" s="88">
        <f t="shared" si="7"/>
        <v>-102236.66347578075</v>
      </c>
      <c r="J29" s="29">
        <f>J27-J28</f>
        <v>0.15</v>
      </c>
      <c r="K29" s="29">
        <f t="shared" si="8"/>
        <v>0.1514705887703893</v>
      </c>
      <c r="L29" s="40">
        <f t="shared" si="0"/>
        <v>5854948.5951449564</v>
      </c>
      <c r="M29" s="40">
        <f>G29*(1+J$15)+SUMIFS(Incremental[Housing],Incremental[SFY],J$20)</f>
        <v>6260059.6443000007</v>
      </c>
      <c r="N29" s="88">
        <f t="shared" si="9"/>
        <v>-405111.04915504437</v>
      </c>
      <c r="O29" s="17"/>
      <c r="P29" s="29">
        <f>P27-P28</f>
        <v>0.15</v>
      </c>
      <c r="Q29" s="29">
        <f t="shared" si="10"/>
        <v>0.15147058877038927</v>
      </c>
      <c r="R29" s="40">
        <f t="shared" si="1"/>
        <v>5816609.846712009</v>
      </c>
      <c r="S29" s="40">
        <f>M29*(1+P$15)+SUMIFS(Incremental[Housing],Incremental[SFY],P$20)</f>
        <v>6447861.4336290006</v>
      </c>
      <c r="T29" s="88">
        <f t="shared" si="11"/>
        <v>-631251.58691699151</v>
      </c>
      <c r="V29" s="47">
        <f t="shared" si="2"/>
        <v>17647049.588381186</v>
      </c>
      <c r="W29" s="40">
        <f t="shared" si="2"/>
        <v>18785648.887929</v>
      </c>
      <c r="X29" s="40">
        <f t="shared" si="3"/>
        <v>-1138599.2995478166</v>
      </c>
      <c r="Y29" s="29">
        <f t="shared" si="12"/>
        <v>0.15</v>
      </c>
      <c r="Z29" s="29">
        <f t="shared" si="4"/>
        <v>0.15099166322688229</v>
      </c>
    </row>
    <row r="30" spans="2:26" ht="15.75" thickTop="1">
      <c r="B30" s="70" t="s">
        <v>74</v>
      </c>
      <c r="C30" s="71">
        <f t="shared" ref="C30:H30" si="13">SUM(C22,C23,C27)</f>
        <v>1</v>
      </c>
      <c r="D30" s="71">
        <f t="shared" si="13"/>
        <v>1</v>
      </c>
      <c r="E30" s="281">
        <f>ROUNDDOWN(SUM(E22,E23,E27),0)</f>
        <v>1</v>
      </c>
      <c r="F30" s="72">
        <f t="shared" si="13"/>
        <v>39836607.6434948</v>
      </c>
      <c r="G30" s="73">
        <f t="shared" si="13"/>
        <v>40518185.400000006</v>
      </c>
      <c r="H30" s="74">
        <f t="shared" si="13"/>
        <v>-681577.75650520436</v>
      </c>
      <c r="J30" s="71">
        <f>SUM(J22,J23,J27)</f>
        <v>1</v>
      </c>
      <c r="K30" s="281">
        <f>ROUNDDOWN(SUM(K22,K23,K27),3)</f>
        <v>1</v>
      </c>
      <c r="L30" s="72">
        <f>SUM(L22,L23,L27)</f>
        <v>39032990.63429971</v>
      </c>
      <c r="M30" s="73">
        <f>SUM(M22,M23,M27)</f>
        <v>41328548.961999997</v>
      </c>
      <c r="N30" s="74">
        <f>SUM(N22,N23,N27)</f>
        <v>-2295558.3277002946</v>
      </c>
      <c r="O30" s="17"/>
      <c r="P30" s="71">
        <f>SUM(P22,P23,P27)</f>
        <v>1</v>
      </c>
      <c r="Q30" s="281">
        <f>ROUNDDOWN(SUM(Q22,Q23,Q27),3)</f>
        <v>1</v>
      </c>
      <c r="R30" s="72">
        <f>SUM(R22,R23,R27)</f>
        <v>38777398.978080064</v>
      </c>
      <c r="S30" s="73">
        <f>SUM(S22,S23,S27)</f>
        <v>42568405.430860005</v>
      </c>
      <c r="T30" s="74">
        <f>SUM(T22,T23,T27)</f>
        <v>-3791006.4527799431</v>
      </c>
      <c r="V30" s="72">
        <f>SUM(V22,V23,V27)</f>
        <v>117646997.25587457</v>
      </c>
      <c r="W30" s="72">
        <f t="shared" ref="W30:X30" si="14">SUM(W22,W23,W27)</f>
        <v>124415139.79286002</v>
      </c>
      <c r="X30" s="72">
        <f t="shared" si="14"/>
        <v>-6768142.536985442</v>
      </c>
      <c r="Y30" s="71">
        <f>SUM(Y22,Y23,Y27)</f>
        <v>1</v>
      </c>
      <c r="Z30" s="71">
        <f>SUM(Z22,Z23,Z27)</f>
        <v>1</v>
      </c>
    </row>
    <row r="31" spans="2:26">
      <c r="F31" s="11"/>
      <c r="G31" s="290"/>
      <c r="K31" s="17"/>
      <c r="L31" s="17"/>
      <c r="M31" s="17"/>
      <c r="N31" s="17"/>
      <c r="O31" s="17"/>
      <c r="P31" s="17"/>
      <c r="Q31" s="17"/>
    </row>
    <row r="32" spans="2:26">
      <c r="C32" s="17"/>
      <c r="E32" s="239"/>
      <c r="F32" s="285"/>
      <c r="G32" s="286"/>
      <c r="L32" s="17"/>
      <c r="M32" s="288"/>
      <c r="N32" s="17"/>
      <c r="O32" s="17"/>
      <c r="P32" s="17"/>
      <c r="Q32" s="17"/>
      <c r="R32" s="17"/>
    </row>
    <row r="33" spans="3:19">
      <c r="C33" s="269"/>
      <c r="E33" s="239"/>
      <c r="F33" s="285"/>
      <c r="G33" s="286"/>
      <c r="L33" s="17"/>
      <c r="M33" s="289"/>
      <c r="N33" s="17"/>
      <c r="O33" s="17"/>
      <c r="P33" s="17"/>
      <c r="Q33" s="17"/>
      <c r="R33" s="17"/>
    </row>
    <row r="34" spans="3:19">
      <c r="C34" s="269"/>
      <c r="D34" s="268"/>
      <c r="E34" s="259"/>
      <c r="F34" s="285"/>
      <c r="M34" s="286"/>
      <c r="O34" s="17"/>
      <c r="P34" s="17"/>
      <c r="Q34" s="17"/>
      <c r="R34" s="17"/>
      <c r="S34" s="17"/>
    </row>
    <row r="35" spans="3:19">
      <c r="C35" s="269"/>
      <c r="D35" s="268"/>
      <c r="E35" s="259"/>
      <c r="F35" s="259"/>
      <c r="O35" s="17"/>
      <c r="P35" s="17"/>
      <c r="Q35" s="17"/>
      <c r="R35" s="17"/>
      <c r="S35" s="17"/>
    </row>
    <row r="36" spans="3:19">
      <c r="C36" s="269"/>
      <c r="D36" s="268"/>
      <c r="E36" s="259"/>
      <c r="F36" s="259"/>
      <c r="O36" s="17"/>
      <c r="P36" s="17"/>
      <c r="Q36" s="17"/>
      <c r="R36" s="17"/>
      <c r="S36" s="17"/>
    </row>
    <row r="37" spans="3:19">
      <c r="F37" s="259"/>
      <c r="O37" s="17"/>
      <c r="P37" s="17"/>
      <c r="Q37" s="17"/>
      <c r="R37" s="17"/>
      <c r="S37" s="17"/>
    </row>
  </sheetData>
  <mergeCells count="2">
    <mergeCell ref="K4:K5"/>
    <mergeCell ref="K6:K8"/>
  </mergeCells>
  <conditionalFormatting sqref="D22:E23">
    <cfRule type="expression" dxfId="56" priority="42">
      <formula>OR(D22&lt;$C22-$N$4,D22&gt;$C22+$N$5)</formula>
    </cfRule>
  </conditionalFormatting>
  <conditionalFormatting sqref="D24:E26">
    <cfRule type="expression" dxfId="55" priority="37">
      <formula>D$24+D$25+D$26&lt;&gt;D$23</formula>
    </cfRule>
  </conditionalFormatting>
  <conditionalFormatting sqref="D27:E27">
    <cfRule type="expression" dxfId="54" priority="43">
      <formula>OR(D27&lt;$C$27-$N$4,D27&gt;$C$27+$N$5)</formula>
    </cfRule>
  </conditionalFormatting>
  <conditionalFormatting sqref="D30:E30">
    <cfRule type="expression" dxfId="53" priority="41">
      <formula>D30&lt;&gt;1</formula>
    </cfRule>
  </conditionalFormatting>
  <conditionalFormatting sqref="E24:E25 K24:K25 Q24:Q25">
    <cfRule type="expression" dxfId="52" priority="69">
      <formula>(G$24+G$25)/(G$24+G$25+G$26)&lt;$N$6</formula>
    </cfRule>
  </conditionalFormatting>
  <conditionalFormatting sqref="E25 K25 Q25">
    <cfRule type="expression" dxfId="51" priority="72">
      <formula>G$25/(G$24+G$25)&lt;$N$7</formula>
    </cfRule>
  </conditionalFormatting>
  <conditionalFormatting sqref="E28">
    <cfRule type="expression" dxfId="50" priority="39">
      <formula>G$28&lt;G$29</formula>
    </cfRule>
  </conditionalFormatting>
  <conditionalFormatting sqref="J22:K23">
    <cfRule type="expression" dxfId="49" priority="6">
      <formula>OR(J22&lt;$C22-$N$4,J22&gt;$C22+$N$5)</formula>
    </cfRule>
  </conditionalFormatting>
  <conditionalFormatting sqref="J24:K26">
    <cfRule type="expression" dxfId="48" priority="5">
      <formula>J$24+J$25+J$26&lt;&gt;J$23</formula>
    </cfRule>
  </conditionalFormatting>
  <conditionalFormatting sqref="J27:K27">
    <cfRule type="expression" dxfId="47" priority="7">
      <formula>OR(J27&lt;$C$27-$N$4,J27&gt;$C$27+$N$5)</formula>
    </cfRule>
  </conditionalFormatting>
  <conditionalFormatting sqref="J30:K30">
    <cfRule type="expression" dxfId="46" priority="9">
      <formula>J30&lt;&gt;1</formula>
    </cfRule>
  </conditionalFormatting>
  <conditionalFormatting sqref="K28">
    <cfRule type="expression" dxfId="45" priority="20">
      <formula>M$28&lt;M$29</formula>
    </cfRule>
  </conditionalFormatting>
  <conditionalFormatting sqref="P28:P29">
    <cfRule type="expression" dxfId="44" priority="58">
      <formula>$D$28&lt;$D$29</formula>
    </cfRule>
  </conditionalFormatting>
  <conditionalFormatting sqref="P22:Q23">
    <cfRule type="expression" dxfId="43" priority="4">
      <formula>OR(P22&lt;$C22-$N$4,P22&gt;$C22+$N$5)</formula>
    </cfRule>
  </conditionalFormatting>
  <conditionalFormatting sqref="P24:Q26">
    <cfRule type="expression" dxfId="42" priority="13">
      <formula>P$24+P$25+P$26&lt;&gt;P$23</formula>
    </cfRule>
  </conditionalFormatting>
  <conditionalFormatting sqref="P30:Q30">
    <cfRule type="expression" dxfId="41" priority="8">
      <formula>P30&lt;&gt;1</formula>
    </cfRule>
  </conditionalFormatting>
  <conditionalFormatting sqref="Q27">
    <cfRule type="expression" dxfId="40" priority="17">
      <formula>OR(Q27&lt;$C$27-$N$4,Q27&gt;$C$27+$N$5)</formula>
    </cfRule>
  </conditionalFormatting>
  <conditionalFormatting sqref="Q28">
    <cfRule type="expression" dxfId="39" priority="14">
      <formula>S$28&lt;S$29</formula>
    </cfRule>
  </conditionalFormatting>
  <conditionalFormatting sqref="Y24:Y26">
    <cfRule type="expression" dxfId="38" priority="51">
      <formula>Y$24+Y$25+Y$26&lt;&gt;Y$23</formula>
    </cfRule>
  </conditionalFormatting>
  <conditionalFormatting sqref="Y28:Z29">
    <cfRule type="expression" dxfId="37" priority="50">
      <formula>$D$28&lt;$D$29</formula>
    </cfRule>
  </conditionalFormatting>
  <conditionalFormatting sqref="Y30:Z30">
    <cfRule type="expression" dxfId="36" priority="47">
      <formula>Y30&lt;&gt;1</formula>
    </cfRule>
  </conditionalFormatting>
  <conditionalFormatting sqref="Z24:Z25">
    <cfRule type="expression" dxfId="35" priority="2">
      <formula>(AB$24+AB$25)/(AB$24+AB$25+AB$26)&lt;$N$6</formula>
    </cfRule>
  </conditionalFormatting>
  <conditionalFormatting sqref="Z25">
    <cfRule type="expression" dxfId="34" priority="3">
      <formula>AB$25/(AB$24+AB$25)&lt;$N$7</formula>
    </cfRule>
  </conditionalFormatting>
  <dataValidations xWindow="1313" yWindow="642" count="14">
    <dataValidation allowBlank="1" showInputMessage="1" showErrorMessage="1" promptTitle="Notice" prompt="If this cell is highlighted in yellow, input the statewide BHSF revenue forecast for each fiscal year. These values will be multiplied by your county’s allocation percentage to calculate the projected BHSA funding for FY 2026–27 through FY 2028–29." sqref="C10" xr:uid="{FEC95C0A-D88B-47DA-A59A-6CEB8CAFAF9B}"/>
    <dataValidation allowBlank="1" showInputMessage="1" showErrorMessage="1" promptTitle="Notice" prompt="This entry adjusts the FY25/26 budget amounts (from the Baseline tab) to account for broad economic changes going into FY26/27. For example, entering 3% means you are projecting a 3% increase from FY25/26 to FY26/27 (BHSA Year 1)." sqref="D15" xr:uid="{383D6711-19A8-4564-92E7-8494C0413D2D}"/>
    <dataValidation allowBlank="1" showInputMessage="1" showErrorMessage="1" promptTitle="Notice" prompt="This is used to project your previous year’s data forward by one year. For example, entering 3% means you are increasing FY27/28 budgeted activities by 3% for FY28/29 (BHSA Year 3)." sqref="P15" xr:uid="{8178C560-7F93-4649-BE98-5C80B4ABB6F7}"/>
    <dataValidation allowBlank="1" showInputMessage="1" showErrorMessage="1" promptTitle="Notice" prompt="These are targets for you to choose and compare against the actual values coming through the Analyst Input Allocation.  It will also determine how your revenue projection gets allocated." sqref="P27 P22:P23 J27 J22:J23" xr:uid="{879F853D-886A-4056-95B7-A89403B10D60}"/>
    <dataValidation allowBlank="1" showInputMessage="1" showErrorMessage="1" promptTitle="Notice" prompt="This is used to project your previous year’s data forward by one year. For example, entering 3% means you are increasing FY26/27 budgeted activities by 3% for FY27/28 (BHSA Year 2)." sqref="J15" xr:uid="{D2C52951-B3DD-44D0-A4B9-1CFF8CF10CF5}"/>
    <dataValidation allowBlank="1" showInputMessage="1" showErrorMessage="1" promptTitle="Notice" prompt="These are the targets you are budgeting for. Setting them to 35/35/30 means you are using the default targets. Any other allocation (e.g., 30/40/30) indicates you are budgeting based on an approved transfer request or an exemption from DHCS." sqref="D21" xr:uid="{5A8E589A-656C-48F1-9A82-6C42328981D8}"/>
    <dataValidation allowBlank="1" showInputMessage="1" showErrorMessage="1" promptTitle="Notice" prompt="These percentages reflect the budget amounts entered by the analyst on both the Baseline and Incremental tabs. The goal is to align these allocations as closely as possible to the target allocation." sqref="E21" xr:uid="{D7D1E69E-34CF-4F4A-9FB7-B5DB58A59BAD}"/>
    <dataValidation allowBlank="1" showInputMessage="1" showErrorMessage="1" promptTitle="Notice" prompt="This represents the projected BHSA funding, derived from the FY26–27 starting budget after subtracting State Projects and BHSA Administration, and allocated according to the target percentages for the current BHSA plan year." sqref="F21" xr:uid="{D03CCEA2-EAF8-4CBB-855E-CCA9C23D1177}"/>
    <dataValidation allowBlank="1" showInputMessage="1" showErrorMessage="1" promptTitle="Notice" prompt="These figures represent the allocated expenses for each component, based on the analyst’s entries in both the Baseline and Incremental tabs." sqref="G21" xr:uid="{6D49E063-DBAE-42F1-9951-6D00E03F1028}"/>
    <dataValidation allowBlank="1" showInputMessage="1" showErrorMessage="1" promptTitle="Notice" prompt="This column shows the difference between the Revenue Projection and the Analyst Input Budget. While the column name is suggestive, counties can simply use it as a reference for the gap between their est. BHSA funding and entered budget amounts." sqref="H21" xr:uid="{411AD752-3082-4549-86D3-E7D410FAAF39}"/>
    <dataValidation allowBlank="1" showInputMessage="1" showErrorMessage="1" promptTitle="Notice" prompt="This serves as a reference point to support budgeting for each BHSA fiscal year. It represents the county’s FY2025/26 MHSA budget. If you notice a significant variance from this total in your BHSA Plan Year(s), it may warrant further scrutiny." sqref="H12" xr:uid="{DB53259B-827F-4F76-B050-16141CF6355C}"/>
    <dataValidation allowBlank="1" showInputMessage="1" showErrorMessage="1" promptTitle="Notice" prompt="The default percentages in this table represent the transfer rules and minimum budget requirements for specific subcomponents. This table serves as a reference, and these percentages also drive the logic applied in each BHSA fiscal year table below." sqref="K4:K5" xr:uid="{0FEC8B36-D802-4B71-9C48-2D0C05204C32}"/>
    <dataValidation allowBlank="1" showInputMessage="1" showErrorMessage="1" promptTitle="Notice" prompt="If this is yellow, enter your county's standard BHSF allocation percentage (of statewide total) and it will be applied against state revenue forecasts below." sqref="C7" xr:uid="{D1C53354-65E3-45D8-B97C-548C5A238E5C}"/>
    <dataValidation allowBlank="1" showInputMessage="1" showErrorMessage="1" promptTitle="Notice" prompt="Enter the desired allocation for Plan Administration. This amount should not exceed 2% or 4%, depending on county population. If these costs are already included in other budget entries within this tool, enter 0% here." sqref="C17 H17 N17" xr:uid="{ED7DBC24-10C5-430E-9716-65D3A34B9298}"/>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5C227-C09D-43DC-AF55-AAE2E7CA8ECD}">
  <sheetPr>
    <tabColor theme="1"/>
    <pageSetUpPr fitToPage="1"/>
  </sheetPr>
  <dimension ref="A2:AM200"/>
  <sheetViews>
    <sheetView zoomScale="115" zoomScaleNormal="115" workbookViewId="0">
      <pane xSplit="1" ySplit="10" topLeftCell="H11" activePane="bottomRight" state="frozen"/>
      <selection pane="bottomRight" activeCell="Q11" sqref="Q11"/>
      <selection pane="bottomLeft" activeCell="A13" sqref="A13"/>
      <selection pane="topRight" activeCell="B1" sqref="B1"/>
    </sheetView>
  </sheetViews>
  <sheetFormatPr defaultRowHeight="15" outlineLevelRow="1" outlineLevelCol="1"/>
  <cols>
    <col min="1" max="1" width="3" customWidth="1"/>
    <col min="2" max="2" width="11.85546875" style="78" customWidth="1"/>
    <col min="3" max="3" width="12.28515625" bestFit="1" customWidth="1"/>
    <col min="4" max="4" width="45" style="17" bestFit="1" customWidth="1"/>
    <col min="5" max="5" width="49.28515625" hidden="1" customWidth="1" outlineLevel="1"/>
    <col min="6" max="6" width="49.7109375" hidden="1" customWidth="1" outlineLevel="1"/>
    <col min="7" max="7" width="63.85546875" style="17" bestFit="1" customWidth="1" collapsed="1"/>
    <col min="8" max="8" width="29.42578125" customWidth="1"/>
    <col min="9" max="9" width="12.42578125" bestFit="1" customWidth="1"/>
    <col min="10" max="10" width="14.5703125" bestFit="1" customWidth="1"/>
    <col min="11" max="11" width="15.7109375" bestFit="1" customWidth="1"/>
    <col min="12" max="12" width="10.140625" bestFit="1" customWidth="1"/>
    <col min="13" max="13" width="14.5703125" bestFit="1" customWidth="1"/>
    <col min="14" max="14" width="13.5703125" bestFit="1" customWidth="1"/>
    <col min="15" max="15" width="24.5703125" bestFit="1" customWidth="1"/>
    <col min="16" max="16" width="14.5703125" bestFit="1" customWidth="1"/>
    <col min="17" max="17" width="12.85546875" bestFit="1" customWidth="1"/>
    <col min="18" max="20" width="12.140625" bestFit="1" customWidth="1"/>
    <col min="21" max="21" width="22.5703125" bestFit="1" customWidth="1"/>
    <col min="22" max="22" width="14.5703125" bestFit="1" customWidth="1"/>
    <col min="23" max="23" width="16.5703125" bestFit="1" customWidth="1"/>
    <col min="24" max="24" width="1.5703125" customWidth="1"/>
    <col min="25" max="25" width="20.7109375" bestFit="1" customWidth="1"/>
    <col min="26" max="26" width="20.7109375" customWidth="1"/>
    <col min="27" max="27" width="10.85546875" bestFit="1" customWidth="1"/>
    <col min="28" max="28" width="12.7109375" customWidth="1" outlineLevel="1"/>
    <col min="29" max="29" width="10.85546875" bestFit="1" customWidth="1"/>
    <col min="30" max="30" width="15.5703125" bestFit="1" customWidth="1"/>
    <col min="33" max="33" width="11.5703125" bestFit="1" customWidth="1"/>
    <col min="34" max="34" width="11.85546875" bestFit="1" customWidth="1"/>
    <col min="35" max="35" width="10.85546875" bestFit="1" customWidth="1"/>
  </cols>
  <sheetData>
    <row r="2" spans="2:27" outlineLevel="1">
      <c r="Q2" s="163" t="s">
        <v>79</v>
      </c>
      <c r="R2" s="163"/>
      <c r="S2" s="164"/>
      <c r="T2" s="163" t="s">
        <v>84</v>
      </c>
      <c r="U2" s="164"/>
    </row>
    <row r="3" spans="2:27" outlineLevel="1">
      <c r="I3" s="19" t="s">
        <v>109</v>
      </c>
      <c r="J3" s="19" t="s">
        <v>110</v>
      </c>
      <c r="P3" s="162" t="s">
        <v>76</v>
      </c>
      <c r="Q3" s="255" t="s">
        <v>111</v>
      </c>
      <c r="R3" s="255" t="s">
        <v>112</v>
      </c>
      <c r="S3" s="256" t="s">
        <v>113</v>
      </c>
      <c r="T3" s="255" t="s">
        <v>84</v>
      </c>
      <c r="U3" s="256" t="s">
        <v>114</v>
      </c>
      <c r="V3" s="165" t="s">
        <v>115</v>
      </c>
    </row>
    <row r="4" spans="2:27" outlineLevel="1">
      <c r="G4" s="278"/>
      <c r="I4" s="240" t="str" cm="1">
        <f t="array" ref="I4:I6">_xlfn._xlws.FILTER(Period_Names[FY],LEFT(Period_Names[Period Name],4)="Proj")</f>
        <v>26-27</v>
      </c>
      <c r="J4" s="241" t="s">
        <v>116</v>
      </c>
      <c r="K4" s="294" t="s">
        <v>117</v>
      </c>
      <c r="L4" s="114"/>
      <c r="M4" s="115"/>
      <c r="N4" s="115"/>
      <c r="O4" s="116" t="s">
        <v>118</v>
      </c>
      <c r="P4" s="112">
        <f>IF(J4="x",'Annual BHSA Revenues'!G22,0)+IF(J5="x",'Annual BHSA Revenues'!M22,0)+IF(J6="x",'Annual BHSA Revenues'!S22,0)</f>
        <v>14181364.890000001</v>
      </c>
      <c r="Q4" s="110">
        <f>IF(J4="x",'Annual BHSA Revenues'!G26,0)+IF(J5="x",'Annual BHSA Revenues'!M26,0)+IF(J6="x",'Annual BHSA Revenues'!S26,0)</f>
        <v>3866824.4299999997</v>
      </c>
      <c r="R4" s="110">
        <f>IF(J4="x",'Annual BHSA Revenues'!G24,0)+IF(J5="x",'Annual BHSA Revenues'!M24,0)+IF(J6="x",'Annual BHSA Revenues'!S24,0)</f>
        <v>4999992.59</v>
      </c>
      <c r="S4" s="113">
        <f>IF(J4="x",'Annual BHSA Revenues'!G25,0)+IF(J5="x",'Annual BHSA Revenues'!M25,0)+IF(J6="x",'Annual BHSA Revenues'!S25,0)</f>
        <v>5314547.87</v>
      </c>
      <c r="T4" s="110">
        <f>IF(J4="x",'Annual BHSA Revenues'!G29,0)+IF(J5="x",'Annual BHSA Revenues'!M29,0)+IF(J6="x",'Annual BHSA Revenues'!S29,0)</f>
        <v>6077727.8100000005</v>
      </c>
      <c r="U4" s="113">
        <f>IF(J4="x",'Annual BHSA Revenues'!G28,0)+IF(J5="x",'Annual BHSA Revenues'!M28,0)+IF(J6="x",'Annual BHSA Revenues'!S28,0)</f>
        <v>6077727.8100000005</v>
      </c>
      <c r="V4" s="111">
        <f>SUM(P4:U4)</f>
        <v>40518185.400000006</v>
      </c>
    </row>
    <row r="5" spans="2:27" outlineLevel="1">
      <c r="I5" s="240" t="str">
        <v>27-28</v>
      </c>
      <c r="J5" s="241"/>
      <c r="K5" s="294"/>
      <c r="L5" s="117"/>
      <c r="M5" s="156"/>
      <c r="N5" s="156"/>
      <c r="O5" s="157" t="s">
        <v>119</v>
      </c>
      <c r="P5" s="169">
        <f>P4/$V$4</f>
        <v>0.35</v>
      </c>
      <c r="Q5" s="160">
        <f>Q4/$V$4</f>
        <v>9.543429430084989E-2</v>
      </c>
      <c r="R5" s="160">
        <f t="shared" ref="R5:U5" si="0">R4/$V$4</f>
        <v>0.12340119728066595</v>
      </c>
      <c r="S5" s="167">
        <f t="shared" si="0"/>
        <v>0.13116450841848409</v>
      </c>
      <c r="T5" s="160">
        <f t="shared" si="0"/>
        <v>0.15</v>
      </c>
      <c r="U5" s="167">
        <f t="shared" si="0"/>
        <v>0.15</v>
      </c>
      <c r="V5" s="161">
        <f>SUM(P5:U5)</f>
        <v>1</v>
      </c>
    </row>
    <row r="6" spans="2:27" outlineLevel="1">
      <c r="G6" s="280"/>
      <c r="I6" s="240" t="str">
        <v>28-29</v>
      </c>
      <c r="J6" s="241"/>
      <c r="K6" s="293" t="s">
        <v>120</v>
      </c>
      <c r="L6" s="114"/>
      <c r="M6" s="115"/>
      <c r="N6" s="115"/>
      <c r="O6" s="172" t="s">
        <v>119</v>
      </c>
      <c r="P6" s="171">
        <f>P5</f>
        <v>0.35</v>
      </c>
      <c r="Q6" s="159">
        <f>SUM(Q5:S5)</f>
        <v>0.34999999999999992</v>
      </c>
      <c r="R6" s="159"/>
      <c r="S6" s="168"/>
      <c r="T6" s="159">
        <f>SUM(T5:U5)</f>
        <v>0.3</v>
      </c>
      <c r="U6" s="168"/>
      <c r="V6" s="107">
        <f>P6+Q6+T6</f>
        <v>1</v>
      </c>
    </row>
    <row r="7" spans="2:27" outlineLevel="1">
      <c r="K7" s="293"/>
      <c r="L7" s="117"/>
      <c r="M7" s="156"/>
      <c r="N7" s="156"/>
      <c r="O7" s="173" t="s">
        <v>63</v>
      </c>
      <c r="P7" s="171">
        <f>(IF(J4="x",'Annual BHSA Revenues'!D22,0)+IF(J5="x",'Annual BHSA Revenues'!J22,0)+IF(J6="x",'Annual BHSA Revenues'!P22,0))/COUNTIF($J$4:$J$6,"x")</f>
        <v>0.35</v>
      </c>
      <c r="Q7" s="159">
        <f>(IF(J4="x",'Annual BHSA Revenues'!D23,0)+IF(J5="x",'Annual BHSA Revenues'!J23,0)+IF(J6="x",'Annual BHSA Revenues'!P23,0))/COUNTIF($J$4:$J$6,"x")</f>
        <v>0.35</v>
      </c>
      <c r="R7" s="159"/>
      <c r="S7" s="168"/>
      <c r="T7" s="159">
        <f>(IF(J4="x",'Annual BHSA Revenues'!D27,0)+IF(J5="x",'Annual BHSA Revenues'!J27,0)+IF(J6="x",'Annual BHSA Revenues'!P27,0))/COUNTIF($J$4:$J$6,"x")</f>
        <v>0.3</v>
      </c>
      <c r="U7" s="168"/>
      <c r="V7" s="107">
        <f>P7+Q7+T7</f>
        <v>1</v>
      </c>
    </row>
    <row r="8" spans="2:27" outlineLevel="1">
      <c r="K8" s="293"/>
      <c r="L8" s="174"/>
      <c r="M8" s="170"/>
      <c r="N8" s="170"/>
      <c r="O8" s="175" t="s">
        <v>121</v>
      </c>
      <c r="P8" s="284">
        <f>IF(J4="x",'Annual BHSA Revenues'!H22,0)+IF(J5="x",'Annual BHSA Revenues'!N22,0)+IF(J6="x",'Annual BHSA Revenues'!T22,0)</f>
        <v>-238552.21477682143</v>
      </c>
      <c r="Q8" s="282">
        <f>IF(J4="x",'Annual BHSA Revenues'!H23,0)+IF(J5="x",'Annual BHSA Revenues'!N23,0)+IF(J6="x",'Annual BHSA Revenues'!T23,0)</f>
        <v>-238552.21477682143</v>
      </c>
      <c r="R8" s="282"/>
      <c r="S8" s="283"/>
      <c r="T8" s="282">
        <f>IF(J4="x",'Annual BHSA Revenues'!H27,0)+IF(J5="x",'Annual BHSA Revenues'!N27,0)+IF(J6="x",'Annual BHSA Revenues'!T27,0)</f>
        <v>-204473.3269515615</v>
      </c>
      <c r="U8" s="283"/>
      <c r="V8" s="166">
        <f>SUM(P8,Q8,T8)</f>
        <v>-681577.75650520436</v>
      </c>
    </row>
    <row r="9" spans="2:27">
      <c r="I9" s="12" t="s">
        <v>122</v>
      </c>
      <c r="J9" s="13"/>
      <c r="K9" s="13"/>
      <c r="L9" s="13"/>
      <c r="M9" s="13"/>
      <c r="N9" s="13"/>
      <c r="O9" s="248"/>
      <c r="P9" s="108" t="s">
        <v>123</v>
      </c>
      <c r="Q9" s="108"/>
      <c r="R9" s="108"/>
      <c r="S9" s="108"/>
      <c r="T9" s="108"/>
      <c r="U9" s="109"/>
      <c r="V9" s="267"/>
      <c r="W9" s="264"/>
    </row>
    <row r="10" spans="2:27" s="17" customFormat="1" ht="30">
      <c r="B10" s="79" t="s">
        <v>124</v>
      </c>
      <c r="C10" s="18" t="s">
        <v>125</v>
      </c>
      <c r="D10" s="18" t="s">
        <v>126</v>
      </c>
      <c r="E10" s="18" t="s">
        <v>127</v>
      </c>
      <c r="F10" s="18" t="s">
        <v>128</v>
      </c>
      <c r="G10" s="18" t="s">
        <v>129</v>
      </c>
      <c r="H10" s="18" t="s">
        <v>130</v>
      </c>
      <c r="I10" s="251" t="s">
        <v>131</v>
      </c>
      <c r="J10" s="251" t="s">
        <v>132</v>
      </c>
      <c r="K10" s="251" t="s">
        <v>91</v>
      </c>
      <c r="L10" s="251" t="s">
        <v>94</v>
      </c>
      <c r="M10" s="251" t="s">
        <v>98</v>
      </c>
      <c r="N10" s="251" t="s">
        <v>99</v>
      </c>
      <c r="O10" s="252" t="s">
        <v>133</v>
      </c>
      <c r="P10" s="250" t="s">
        <v>76</v>
      </c>
      <c r="Q10" s="250" t="s">
        <v>111</v>
      </c>
      <c r="R10" s="250" t="s">
        <v>112</v>
      </c>
      <c r="S10" s="250" t="s">
        <v>113</v>
      </c>
      <c r="T10" s="250" t="s">
        <v>84</v>
      </c>
      <c r="U10" s="250" t="s">
        <v>114</v>
      </c>
      <c r="V10" s="266" t="s">
        <v>134</v>
      </c>
      <c r="W10" s="265" t="s">
        <v>135</v>
      </c>
      <c r="X10" s="18"/>
    </row>
    <row r="11" spans="2:27">
      <c r="B11" s="78" t="s">
        <v>97</v>
      </c>
      <c r="C11" t="str">
        <f>Instructions!$C$6</f>
        <v>25-26</v>
      </c>
      <c r="D11" s="277" t="s">
        <v>136</v>
      </c>
      <c r="E11" t="s">
        <v>137</v>
      </c>
      <c r="F11" t="s">
        <v>138</v>
      </c>
      <c r="G11" t="s">
        <v>139</v>
      </c>
      <c r="H11" s="19" t="s">
        <v>140</v>
      </c>
      <c r="I11" s="239">
        <v>658966.92500000005</v>
      </c>
      <c r="J11" s="239">
        <v>645918.07499999995</v>
      </c>
      <c r="K11" s="239">
        <v>0</v>
      </c>
      <c r="L11" s="239">
        <v>0</v>
      </c>
      <c r="M11" s="239">
        <v>0</v>
      </c>
      <c r="N11" s="239">
        <v>0</v>
      </c>
      <c r="O11" s="249">
        <f>SUM(Baseline[[#This Row],[CSS FSP]:[WET]])</f>
        <v>1304885</v>
      </c>
      <c r="P11" s="239">
        <v>456709</v>
      </c>
      <c r="Q11" s="239">
        <v>809028</v>
      </c>
      <c r="R11" s="239">
        <v>0</v>
      </c>
      <c r="S11" s="239">
        <v>0</v>
      </c>
      <c r="T11" s="239">
        <v>19573</v>
      </c>
      <c r="U11" s="239">
        <v>19573</v>
      </c>
      <c r="V11" s="249">
        <f>SUM(Baseline[[#This Row],[FSP]:[Housing - Homeless]])</f>
        <v>1304883</v>
      </c>
      <c r="W11" s="239">
        <f>Baseline[[#This Row],[MHSA Total]]-Baseline[[#This Row],[BHSA Total]]</f>
        <v>2</v>
      </c>
      <c r="X11" s="11"/>
    </row>
    <row r="12" spans="2:27">
      <c r="B12" s="78" t="s">
        <v>97</v>
      </c>
      <c r="C12" t="str">
        <f>Instructions!$C$6</f>
        <v>25-26</v>
      </c>
      <c r="D12" s="277" t="s">
        <v>141</v>
      </c>
      <c r="E12" t="s">
        <v>142</v>
      </c>
      <c r="F12" t="s">
        <v>143</v>
      </c>
      <c r="G12" t="s">
        <v>144</v>
      </c>
      <c r="H12" s="19" t="s">
        <v>140</v>
      </c>
      <c r="I12" s="239">
        <v>4822267.22</v>
      </c>
      <c r="J12" s="239">
        <v>4726776.78</v>
      </c>
      <c r="K12" s="239">
        <v>0</v>
      </c>
      <c r="L12" s="239">
        <v>0</v>
      </c>
      <c r="M12" s="239">
        <v>0</v>
      </c>
      <c r="N12" s="239">
        <v>0</v>
      </c>
      <c r="O12" s="249">
        <f>SUM(Baseline[[#This Row],[CSS FSP]:[WET]])</f>
        <v>9549044</v>
      </c>
      <c r="P12" s="239">
        <v>0</v>
      </c>
      <c r="Q12" s="239">
        <v>0</v>
      </c>
      <c r="R12" s="239">
        <v>0</v>
      </c>
      <c r="S12" s="239">
        <v>0</v>
      </c>
      <c r="T12" s="239">
        <v>0</v>
      </c>
      <c r="U12" s="239">
        <v>0</v>
      </c>
      <c r="V12" s="249">
        <f>SUM(Baseline[[#This Row],[FSP]:[Housing - Homeless]])</f>
        <v>0</v>
      </c>
      <c r="W12" s="239">
        <f>Baseline[[#This Row],[MHSA Total]]-Baseline[[#This Row],[BHSA Total]]</f>
        <v>9549044</v>
      </c>
      <c r="X12" s="11"/>
    </row>
    <row r="13" spans="2:27">
      <c r="B13" s="78" t="s">
        <v>97</v>
      </c>
      <c r="C13" t="str">
        <f>Instructions!$C$6</f>
        <v>25-26</v>
      </c>
      <c r="D13" s="277" t="s">
        <v>141</v>
      </c>
      <c r="E13" t="s">
        <v>142</v>
      </c>
      <c r="F13" t="s">
        <v>143</v>
      </c>
      <c r="G13" t="s">
        <v>144</v>
      </c>
      <c r="H13" s="19" t="s">
        <v>145</v>
      </c>
      <c r="I13" s="239">
        <v>-1928906</v>
      </c>
      <c r="J13" s="239">
        <v>-1928906</v>
      </c>
      <c r="K13" s="239">
        <v>0</v>
      </c>
      <c r="L13" s="239">
        <v>0</v>
      </c>
      <c r="M13" s="239">
        <v>0</v>
      </c>
      <c r="N13" s="239">
        <v>0</v>
      </c>
      <c r="O13" s="249">
        <f>SUM(Baseline[[#This Row],[CSS FSP]:[WET]])</f>
        <v>-3857812</v>
      </c>
      <c r="P13" s="239">
        <v>0</v>
      </c>
      <c r="Q13" s="239">
        <v>0</v>
      </c>
      <c r="R13" s="239">
        <v>0</v>
      </c>
      <c r="S13" s="239">
        <v>0</v>
      </c>
      <c r="T13" s="239">
        <v>0</v>
      </c>
      <c r="U13" s="239">
        <v>0</v>
      </c>
      <c r="V13" s="249">
        <f>SUM(Baseline[[#This Row],[FSP]:[Housing - Homeless]])</f>
        <v>0</v>
      </c>
      <c r="W13" s="239">
        <f>Baseline[[#This Row],[MHSA Total]]-Baseline[[#This Row],[BHSA Total]]</f>
        <v>-3857812</v>
      </c>
      <c r="X13" s="11"/>
    </row>
    <row r="14" spans="2:27">
      <c r="B14" s="78" t="s">
        <v>97</v>
      </c>
      <c r="C14" t="str">
        <f>Instructions!$C$6</f>
        <v>25-26</v>
      </c>
      <c r="D14" s="277" t="s">
        <v>146</v>
      </c>
      <c r="E14" t="s">
        <v>147</v>
      </c>
      <c r="F14" t="s">
        <v>148</v>
      </c>
      <c r="G14" t="s">
        <v>149</v>
      </c>
      <c r="H14" s="19" t="s">
        <v>140</v>
      </c>
      <c r="I14" s="239">
        <v>0</v>
      </c>
      <c r="J14" s="239">
        <v>0</v>
      </c>
      <c r="K14" s="239">
        <v>0</v>
      </c>
      <c r="L14" s="239">
        <v>0</v>
      </c>
      <c r="M14" s="239">
        <v>0</v>
      </c>
      <c r="N14" s="239">
        <v>444116</v>
      </c>
      <c r="O14" s="249">
        <f>SUM(Baseline[[#This Row],[CSS FSP]:[WET]])</f>
        <v>444116</v>
      </c>
      <c r="P14" s="239">
        <v>0</v>
      </c>
      <c r="Q14" s="239">
        <v>164096</v>
      </c>
      <c r="R14" s="239">
        <v>0</v>
      </c>
      <c r="S14" s="239">
        <v>0</v>
      </c>
      <c r="T14" s="239">
        <v>0</v>
      </c>
      <c r="U14" s="239">
        <v>0</v>
      </c>
      <c r="V14" s="249">
        <f>SUM(Baseline[[#This Row],[FSP]:[Housing - Homeless]])</f>
        <v>164096</v>
      </c>
      <c r="W14" s="239">
        <f>Baseline[[#This Row],[MHSA Total]]-Baseline[[#This Row],[BHSA Total]]</f>
        <v>280020</v>
      </c>
      <c r="X14" s="11"/>
      <c r="AA14" s="239"/>
    </row>
    <row r="15" spans="2:27">
      <c r="B15" s="78" t="s">
        <v>97</v>
      </c>
      <c r="C15" t="str">
        <f>Instructions!$C$6</f>
        <v>25-26</v>
      </c>
      <c r="D15" s="277" t="s">
        <v>150</v>
      </c>
      <c r="E15" t="s">
        <v>151</v>
      </c>
      <c r="F15" t="s">
        <v>152</v>
      </c>
      <c r="G15" t="s">
        <v>153</v>
      </c>
      <c r="H15" s="19" t="s">
        <v>140</v>
      </c>
      <c r="I15" s="239">
        <v>0</v>
      </c>
      <c r="J15" s="239">
        <v>0</v>
      </c>
      <c r="K15" s="239">
        <v>0</v>
      </c>
      <c r="L15" s="239">
        <v>0</v>
      </c>
      <c r="M15" s="239">
        <v>395925</v>
      </c>
      <c r="N15" s="239">
        <v>0</v>
      </c>
      <c r="O15" s="249">
        <f>SUM(Baseline[[#This Row],[CSS FSP]:[WET]])</f>
        <v>395925</v>
      </c>
      <c r="P15" s="239">
        <v>0</v>
      </c>
      <c r="Q15" s="239">
        <v>115905</v>
      </c>
      <c r="R15" s="239">
        <v>0</v>
      </c>
      <c r="S15" s="239">
        <v>0</v>
      </c>
      <c r="T15" s="239">
        <v>0</v>
      </c>
      <c r="U15" s="239">
        <v>0</v>
      </c>
      <c r="V15" s="249">
        <f>SUM(Baseline[[#This Row],[FSP]:[Housing - Homeless]])</f>
        <v>115905</v>
      </c>
      <c r="W15" s="239">
        <f>Baseline[[#This Row],[MHSA Total]]-Baseline[[#This Row],[BHSA Total]]</f>
        <v>280020</v>
      </c>
      <c r="X15" s="11"/>
      <c r="AA15" s="239"/>
    </row>
    <row r="16" spans="2:27">
      <c r="B16" s="78" t="s">
        <v>97</v>
      </c>
      <c r="C16" t="str">
        <f>Instructions!$C$6</f>
        <v>25-26</v>
      </c>
      <c r="D16" s="277" t="s">
        <v>154</v>
      </c>
      <c r="E16" t="s">
        <v>155</v>
      </c>
      <c r="F16" t="s">
        <v>156</v>
      </c>
      <c r="G16" t="s">
        <v>157</v>
      </c>
      <c r="H16" s="19" t="s">
        <v>140</v>
      </c>
      <c r="I16" s="239">
        <v>219584.60499999998</v>
      </c>
      <c r="J16" s="239">
        <v>215236.39500000002</v>
      </c>
      <c r="K16" s="239">
        <v>0</v>
      </c>
      <c r="L16" s="239">
        <v>0</v>
      </c>
      <c r="M16" s="239">
        <v>0</v>
      </c>
      <c r="N16" s="239">
        <v>0</v>
      </c>
      <c r="O16" s="249">
        <f>SUM(Baseline[[#This Row],[CSS FSP]:[WET]])</f>
        <v>434821</v>
      </c>
      <c r="P16" s="239">
        <v>0</v>
      </c>
      <c r="Q16" s="239">
        <v>0</v>
      </c>
      <c r="R16" s="239">
        <v>260892</v>
      </c>
      <c r="S16" s="239">
        <v>86964</v>
      </c>
      <c r="T16" s="239">
        <v>0</v>
      </c>
      <c r="U16" s="239">
        <v>0</v>
      </c>
      <c r="V16" s="249">
        <f>SUM(Baseline[[#This Row],[FSP]:[Housing - Homeless]])</f>
        <v>347856</v>
      </c>
      <c r="W16" s="239">
        <f>Baseline[[#This Row],[MHSA Total]]-Baseline[[#This Row],[BHSA Total]]</f>
        <v>86965</v>
      </c>
      <c r="X16" s="11"/>
    </row>
    <row r="17" spans="2:39">
      <c r="B17" s="78" t="s">
        <v>97</v>
      </c>
      <c r="C17" t="str">
        <f>Instructions!$C$6</f>
        <v>25-26</v>
      </c>
      <c r="D17" s="277" t="s">
        <v>158</v>
      </c>
      <c r="E17" t="s">
        <v>159</v>
      </c>
      <c r="F17" t="s">
        <v>160</v>
      </c>
      <c r="G17" t="s">
        <v>161</v>
      </c>
      <c r="H17" s="19" t="s">
        <v>140</v>
      </c>
      <c r="I17" s="239">
        <v>1278017.135</v>
      </c>
      <c r="J17" s="239">
        <v>1252709.865</v>
      </c>
      <c r="K17" s="239">
        <v>0</v>
      </c>
      <c r="L17" s="239">
        <v>0</v>
      </c>
      <c r="M17" s="239">
        <v>0</v>
      </c>
      <c r="N17" s="239">
        <v>0</v>
      </c>
      <c r="O17" s="249">
        <f>SUM(Baseline[[#This Row],[CSS FSP]:[WET]])</f>
        <v>2530727</v>
      </c>
      <c r="P17" s="239">
        <v>885754</v>
      </c>
      <c r="Q17" s="239">
        <v>0</v>
      </c>
      <c r="R17" s="239">
        <v>0</v>
      </c>
      <c r="S17" s="239">
        <v>0</v>
      </c>
      <c r="T17" s="239">
        <v>331175</v>
      </c>
      <c r="U17" s="239">
        <v>331175</v>
      </c>
      <c r="V17" s="249">
        <f>SUM(Baseline[[#This Row],[FSP]:[Housing - Homeless]])</f>
        <v>1548104</v>
      </c>
      <c r="W17" s="239">
        <f>Baseline[[#This Row],[MHSA Total]]-Baseline[[#This Row],[BHSA Total]]</f>
        <v>982623</v>
      </c>
      <c r="X17" s="11"/>
    </row>
    <row r="18" spans="2:39">
      <c r="B18" s="78" t="s">
        <v>97</v>
      </c>
      <c r="C18" t="str">
        <f>Instructions!$C$6</f>
        <v>25-26</v>
      </c>
      <c r="D18" s="17" t="s">
        <v>162</v>
      </c>
      <c r="E18" t="s">
        <v>163</v>
      </c>
      <c r="F18" t="s">
        <v>164</v>
      </c>
      <c r="G18" t="s">
        <v>165</v>
      </c>
      <c r="H18" s="19" t="s">
        <v>140</v>
      </c>
      <c r="I18" s="239">
        <v>0</v>
      </c>
      <c r="J18" s="239">
        <v>0</v>
      </c>
      <c r="K18" s="239">
        <v>775463</v>
      </c>
      <c r="L18" s="239">
        <v>0</v>
      </c>
      <c r="M18" s="239">
        <v>0</v>
      </c>
      <c r="N18" s="239">
        <v>0</v>
      </c>
      <c r="O18" s="249">
        <f>SUM(Baseline[[#This Row],[CSS FSP]:[WET]])</f>
        <v>775463</v>
      </c>
      <c r="P18" s="239">
        <v>0</v>
      </c>
      <c r="Q18" s="239">
        <v>0</v>
      </c>
      <c r="R18" s="239">
        <v>271412</v>
      </c>
      <c r="S18" s="239">
        <v>504050</v>
      </c>
      <c r="T18" s="239">
        <v>0</v>
      </c>
      <c r="U18" s="239">
        <v>0</v>
      </c>
      <c r="V18" s="249">
        <f>SUM(Baseline[[#This Row],[FSP]:[Housing - Homeless]])</f>
        <v>775462</v>
      </c>
      <c r="W18" s="239">
        <f>Baseline[[#This Row],[MHSA Total]]-Baseline[[#This Row],[BHSA Total]]</f>
        <v>1</v>
      </c>
      <c r="X18" s="11"/>
      <c r="AA18" s="239"/>
      <c r="AB18" s="239"/>
      <c r="AC18" s="239"/>
      <c r="AD18" s="239"/>
      <c r="AE18" s="239"/>
      <c r="AF18" s="239"/>
      <c r="AG18" s="239"/>
      <c r="AH18" s="239"/>
      <c r="AI18" s="239"/>
      <c r="AJ18" s="239"/>
      <c r="AK18" s="239"/>
      <c r="AL18" s="239"/>
      <c r="AM18" s="239"/>
    </row>
    <row r="19" spans="2:39">
      <c r="B19" s="78" t="s">
        <v>97</v>
      </c>
      <c r="C19" t="str">
        <f>Instructions!$C$6</f>
        <v>25-26</v>
      </c>
      <c r="D19" s="17" t="s">
        <v>166</v>
      </c>
      <c r="E19" t="s">
        <v>167</v>
      </c>
      <c r="F19" t="s">
        <v>168</v>
      </c>
      <c r="G19" t="s">
        <v>169</v>
      </c>
      <c r="H19" s="19" t="s">
        <v>140</v>
      </c>
      <c r="I19" s="239">
        <v>0</v>
      </c>
      <c r="J19" s="239">
        <v>0</v>
      </c>
      <c r="K19" s="239">
        <v>258164</v>
      </c>
      <c r="L19" s="239">
        <v>0</v>
      </c>
      <c r="M19" s="239">
        <v>0</v>
      </c>
      <c r="N19" s="239">
        <v>0</v>
      </c>
      <c r="O19" s="249">
        <f>SUM(Baseline[[#This Row],[CSS FSP]:[WET]])</f>
        <v>258164</v>
      </c>
      <c r="P19" s="239">
        <v>0</v>
      </c>
      <c r="Q19" s="239">
        <v>0</v>
      </c>
      <c r="R19" s="239">
        <v>0</v>
      </c>
      <c r="S19" s="239">
        <v>0</v>
      </c>
      <c r="T19" s="239">
        <v>0</v>
      </c>
      <c r="U19" s="239">
        <v>0</v>
      </c>
      <c r="V19" s="249">
        <f>SUM(Baseline[[#This Row],[FSP]:[Housing - Homeless]])</f>
        <v>0</v>
      </c>
      <c r="W19" s="239">
        <f>Baseline[[#This Row],[MHSA Total]]-Baseline[[#This Row],[BHSA Total]]</f>
        <v>258164</v>
      </c>
      <c r="X19" s="11"/>
      <c r="AA19" s="239"/>
      <c r="AB19" s="239"/>
      <c r="AC19" s="239"/>
      <c r="AD19" s="239"/>
      <c r="AE19" s="239"/>
      <c r="AF19" s="239"/>
      <c r="AG19" s="239"/>
      <c r="AH19" s="239"/>
      <c r="AI19" s="239"/>
      <c r="AJ19" s="239"/>
      <c r="AK19" s="239"/>
      <c r="AL19" s="239"/>
      <c r="AM19" s="239"/>
    </row>
    <row r="20" spans="2:39">
      <c r="B20" s="78" t="s">
        <v>97</v>
      </c>
      <c r="C20" t="str">
        <f>Instructions!$C$6</f>
        <v>25-26</v>
      </c>
      <c r="D20" s="277" t="s">
        <v>170</v>
      </c>
      <c r="E20" t="s">
        <v>171</v>
      </c>
      <c r="F20" t="s">
        <v>172</v>
      </c>
      <c r="G20" t="s">
        <v>173</v>
      </c>
      <c r="H20" s="19" t="s">
        <v>140</v>
      </c>
      <c r="I20" s="239">
        <v>0</v>
      </c>
      <c r="J20" s="239">
        <v>0</v>
      </c>
      <c r="K20" s="239">
        <v>0</v>
      </c>
      <c r="L20" s="239">
        <v>986171</v>
      </c>
      <c r="M20" s="239">
        <v>0</v>
      </c>
      <c r="N20" s="239">
        <v>0</v>
      </c>
      <c r="O20" s="249">
        <f>SUM(Baseline[[#This Row],[CSS FSP]:[WET]])</f>
        <v>986171</v>
      </c>
      <c r="P20" s="239">
        <v>0</v>
      </c>
      <c r="Q20" s="239">
        <v>276127</v>
      </c>
      <c r="R20" s="239">
        <v>0</v>
      </c>
      <c r="S20" s="239">
        <v>0</v>
      </c>
      <c r="T20" s="239">
        <v>0</v>
      </c>
      <c r="U20" s="239">
        <v>0</v>
      </c>
      <c r="V20" s="249">
        <f>SUM(Baseline[[#This Row],[FSP]:[Housing - Homeless]])</f>
        <v>276127</v>
      </c>
      <c r="W20" s="239">
        <f>Baseline[[#This Row],[MHSA Total]]-Baseline[[#This Row],[BHSA Total]]</f>
        <v>710044</v>
      </c>
      <c r="X20" s="11"/>
    </row>
    <row r="21" spans="2:39">
      <c r="B21" s="78" t="s">
        <v>97</v>
      </c>
      <c r="C21" t="str">
        <f>Instructions!$C$6</f>
        <v>25-26</v>
      </c>
      <c r="D21" s="277" t="s">
        <v>174</v>
      </c>
      <c r="E21" t="s">
        <v>175</v>
      </c>
      <c r="F21" t="s">
        <v>176</v>
      </c>
      <c r="G21" t="s">
        <v>177</v>
      </c>
      <c r="H21" s="19" t="s">
        <v>140</v>
      </c>
      <c r="I21" s="239">
        <v>0</v>
      </c>
      <c r="J21" s="239">
        <v>0</v>
      </c>
      <c r="K21" s="239">
        <v>0</v>
      </c>
      <c r="L21" s="239">
        <v>12715</v>
      </c>
      <c r="M21" s="239">
        <v>0</v>
      </c>
      <c r="N21" s="239">
        <v>0</v>
      </c>
      <c r="O21" s="249">
        <f>SUM(Baseline[[#This Row],[CSS FSP]:[WET]])</f>
        <v>12715</v>
      </c>
      <c r="P21" s="239">
        <v>0</v>
      </c>
      <c r="Q21" s="239">
        <v>3560</v>
      </c>
      <c r="R21" s="239">
        <v>0</v>
      </c>
      <c r="S21" s="239">
        <v>0</v>
      </c>
      <c r="T21" s="239">
        <v>0</v>
      </c>
      <c r="U21" s="239">
        <v>0</v>
      </c>
      <c r="V21" s="249">
        <f>SUM(Baseline[[#This Row],[FSP]:[Housing - Homeless]])</f>
        <v>3560</v>
      </c>
      <c r="W21" s="239">
        <f>Baseline[[#This Row],[MHSA Total]]-Baseline[[#This Row],[BHSA Total]]</f>
        <v>9155</v>
      </c>
      <c r="X21" s="11"/>
      <c r="Y21" s="11"/>
      <c r="Z21" s="11"/>
      <c r="AA21" s="239"/>
      <c r="AB21" s="239"/>
      <c r="AC21" s="239"/>
      <c r="AD21" s="239"/>
      <c r="AE21" s="239"/>
      <c r="AF21" s="239"/>
      <c r="AG21" s="239"/>
      <c r="AH21" s="239"/>
      <c r="AI21" s="239"/>
      <c r="AJ21" s="239"/>
      <c r="AK21" s="239"/>
      <c r="AL21" s="239"/>
      <c r="AM21" s="239"/>
    </row>
    <row r="22" spans="2:39">
      <c r="B22" s="78" t="s">
        <v>97</v>
      </c>
      <c r="C22" t="str">
        <f>Instructions!$C$6</f>
        <v>25-26</v>
      </c>
      <c r="D22" s="277" t="s">
        <v>178</v>
      </c>
      <c r="E22" t="s">
        <v>179</v>
      </c>
      <c r="F22" t="s">
        <v>180</v>
      </c>
      <c r="G22" t="s">
        <v>181</v>
      </c>
      <c r="H22" s="19" t="s">
        <v>140</v>
      </c>
      <c r="I22" s="239">
        <v>0</v>
      </c>
      <c r="J22" s="239">
        <v>0</v>
      </c>
      <c r="K22" s="239">
        <v>0</v>
      </c>
      <c r="L22" s="239">
        <v>965612</v>
      </c>
      <c r="M22" s="239">
        <v>0</v>
      </c>
      <c r="N22" s="239">
        <v>0</v>
      </c>
      <c r="O22" s="249">
        <f>SUM(Baseline[[#This Row],[CSS FSP]:[WET]])</f>
        <v>965612</v>
      </c>
      <c r="P22" s="239">
        <v>94629</v>
      </c>
      <c r="Q22" s="239">
        <v>167630</v>
      </c>
      <c r="R22" s="239">
        <v>0</v>
      </c>
      <c r="S22" s="239">
        <v>0</v>
      </c>
      <c r="T22" s="239">
        <v>4055</v>
      </c>
      <c r="U22" s="239">
        <v>4055</v>
      </c>
      <c r="V22" s="249">
        <f>SUM(Baseline[[#This Row],[FSP]:[Housing - Homeless]])</f>
        <v>270369</v>
      </c>
      <c r="W22" s="239">
        <f>Baseline[[#This Row],[MHSA Total]]-Baseline[[#This Row],[BHSA Total]]</f>
        <v>695243</v>
      </c>
      <c r="X22" s="11"/>
      <c r="Y22" s="11"/>
      <c r="Z22" s="11"/>
      <c r="AA22" s="239"/>
      <c r="AB22" s="239"/>
      <c r="AC22" s="239"/>
      <c r="AD22" s="239"/>
      <c r="AE22" s="239"/>
      <c r="AF22" s="239"/>
      <c r="AG22" s="239"/>
      <c r="AH22" s="239"/>
      <c r="AI22" s="239"/>
      <c r="AJ22" s="239"/>
      <c r="AK22" s="239"/>
      <c r="AL22" s="239"/>
      <c r="AM22" s="239"/>
    </row>
    <row r="23" spans="2:39">
      <c r="B23" s="78" t="s">
        <v>182</v>
      </c>
      <c r="C23" t="str">
        <f>Instructions!$C$6</f>
        <v>25-26</v>
      </c>
      <c r="D23" s="17" t="s">
        <v>183</v>
      </c>
      <c r="E23" t="s">
        <v>184</v>
      </c>
      <c r="F23" t="s">
        <v>185</v>
      </c>
      <c r="G23" t="s">
        <v>186</v>
      </c>
      <c r="H23" s="19" t="s">
        <v>140</v>
      </c>
      <c r="I23" s="239">
        <v>25250</v>
      </c>
      <c r="J23" s="239">
        <v>24750</v>
      </c>
      <c r="K23" s="239">
        <v>0</v>
      </c>
      <c r="L23" s="239">
        <v>0</v>
      </c>
      <c r="M23" s="239">
        <v>0</v>
      </c>
      <c r="N23" s="239">
        <v>0</v>
      </c>
      <c r="O23" s="249">
        <f>SUM(Baseline[[#This Row],[CSS FSP]:[WET]])</f>
        <v>50000</v>
      </c>
      <c r="P23" s="239">
        <v>17500</v>
      </c>
      <c r="Q23" s="239">
        <v>31000</v>
      </c>
      <c r="R23" s="239">
        <v>0</v>
      </c>
      <c r="S23" s="239">
        <v>0</v>
      </c>
      <c r="T23" s="239">
        <v>750</v>
      </c>
      <c r="U23" s="239">
        <v>750</v>
      </c>
      <c r="V23" s="249">
        <f>SUM(Baseline[[#This Row],[FSP]:[Housing - Homeless]])</f>
        <v>50000</v>
      </c>
      <c r="W23" s="239">
        <f>Baseline[[#This Row],[MHSA Total]]-Baseline[[#This Row],[BHSA Total]]</f>
        <v>0</v>
      </c>
      <c r="X23" s="11"/>
      <c r="Y23" t="str">
        <f>IFERROR(VLOOKUP(D23,#REF!,2,0),"")</f>
        <v/>
      </c>
    </row>
    <row r="24" spans="2:39">
      <c r="B24" s="78" t="s">
        <v>182</v>
      </c>
      <c r="C24" t="str">
        <f>Instructions!$C$6</f>
        <v>25-26</v>
      </c>
      <c r="D24" s="17" t="s">
        <v>187</v>
      </c>
      <c r="E24" t="s">
        <v>184</v>
      </c>
      <c r="F24" t="s">
        <v>188</v>
      </c>
      <c r="G24" t="s">
        <v>186</v>
      </c>
      <c r="H24" s="19" t="s">
        <v>140</v>
      </c>
      <c r="I24" s="239">
        <v>12625</v>
      </c>
      <c r="J24" s="239">
        <v>12375</v>
      </c>
      <c r="K24" s="239">
        <v>0</v>
      </c>
      <c r="L24" s="239">
        <v>0</v>
      </c>
      <c r="M24" s="239">
        <v>0</v>
      </c>
      <c r="N24" s="239">
        <v>0</v>
      </c>
      <c r="O24" s="249">
        <f>SUM(Baseline[[#This Row],[CSS FSP]:[WET]])</f>
        <v>25000</v>
      </c>
      <c r="P24" s="239">
        <v>8750</v>
      </c>
      <c r="Q24" s="239">
        <v>15500</v>
      </c>
      <c r="R24" s="239">
        <v>0</v>
      </c>
      <c r="S24" s="239">
        <v>0</v>
      </c>
      <c r="T24" s="239">
        <v>375</v>
      </c>
      <c r="U24" s="239">
        <v>375</v>
      </c>
      <c r="V24" s="249">
        <f>SUM(Baseline[[#This Row],[FSP]:[Housing - Homeless]])</f>
        <v>25000</v>
      </c>
      <c r="W24" s="239">
        <f>Baseline[[#This Row],[MHSA Total]]-Baseline[[#This Row],[BHSA Total]]</f>
        <v>0</v>
      </c>
      <c r="X24" s="11"/>
      <c r="Y24" t="str">
        <f>IFERROR(VLOOKUP(D24,#REF!,2,0),"")</f>
        <v/>
      </c>
    </row>
    <row r="25" spans="2:39">
      <c r="B25" s="78" t="s">
        <v>182</v>
      </c>
      <c r="C25" t="str">
        <f>Instructions!$C$6</f>
        <v>25-26</v>
      </c>
      <c r="D25" s="17" t="s">
        <v>189</v>
      </c>
      <c r="E25" t="s">
        <v>190</v>
      </c>
      <c r="F25" t="s">
        <v>191</v>
      </c>
      <c r="G25" t="s">
        <v>192</v>
      </c>
      <c r="H25" s="19" t="s">
        <v>140</v>
      </c>
      <c r="I25" s="239">
        <v>6067.5749999999998</v>
      </c>
      <c r="J25" s="239">
        <v>5947.4250000000002</v>
      </c>
      <c r="K25" s="239">
        <v>0</v>
      </c>
      <c r="L25" s="239">
        <v>0</v>
      </c>
      <c r="M25" s="239">
        <v>0</v>
      </c>
      <c r="N25" s="239">
        <v>0</v>
      </c>
      <c r="O25" s="249">
        <f>SUM(Baseline[[#This Row],[CSS FSP]:[WET]])</f>
        <v>12015</v>
      </c>
      <c r="P25" s="239">
        <v>0</v>
      </c>
      <c r="Q25" s="239">
        <v>12015</v>
      </c>
      <c r="R25" s="239">
        <v>0</v>
      </c>
      <c r="S25" s="239">
        <v>0</v>
      </c>
      <c r="T25" s="239">
        <v>0</v>
      </c>
      <c r="U25" s="239">
        <v>0</v>
      </c>
      <c r="V25" s="249">
        <f>SUM(Baseline[[#This Row],[FSP]:[Housing - Homeless]])</f>
        <v>12015</v>
      </c>
      <c r="W25" s="239">
        <f>Baseline[[#This Row],[MHSA Total]]-Baseline[[#This Row],[BHSA Total]]</f>
        <v>0</v>
      </c>
      <c r="X25" s="11"/>
      <c r="Y25" t="str">
        <f>IFERROR(VLOOKUP(D25,#REF!,2,0),"")</f>
        <v/>
      </c>
    </row>
    <row r="26" spans="2:39">
      <c r="B26" s="78" t="s">
        <v>97</v>
      </c>
      <c r="C26" t="str">
        <f>Instructions!$C$6</f>
        <v>25-26</v>
      </c>
      <c r="D26" s="17" t="s">
        <v>193</v>
      </c>
      <c r="E26" t="s">
        <v>184</v>
      </c>
      <c r="F26" t="s">
        <v>194</v>
      </c>
      <c r="G26" t="s">
        <v>186</v>
      </c>
      <c r="H26" s="19" t="s">
        <v>140</v>
      </c>
      <c r="I26" s="239">
        <v>50.5</v>
      </c>
      <c r="J26" s="239">
        <v>49.5</v>
      </c>
      <c r="K26" s="239">
        <v>0</v>
      </c>
      <c r="L26" s="239">
        <v>0</v>
      </c>
      <c r="M26" s="239">
        <v>0</v>
      </c>
      <c r="N26" s="239">
        <v>0</v>
      </c>
      <c r="O26" s="249">
        <f>SUM(Baseline[[#This Row],[CSS FSP]:[WET]])</f>
        <v>100</v>
      </c>
      <c r="P26" s="239">
        <v>35</v>
      </c>
      <c r="Q26" s="239">
        <v>62</v>
      </c>
      <c r="R26" s="239">
        <v>0</v>
      </c>
      <c r="S26" s="239">
        <v>0</v>
      </c>
      <c r="T26" s="239">
        <v>1</v>
      </c>
      <c r="U26" s="239">
        <v>1</v>
      </c>
      <c r="V26" s="249">
        <f>SUM(Baseline[[#This Row],[FSP]:[Housing - Homeless]])</f>
        <v>99</v>
      </c>
      <c r="W26" s="239">
        <f>Baseline[[#This Row],[MHSA Total]]-Baseline[[#This Row],[BHSA Total]]</f>
        <v>1</v>
      </c>
      <c r="X26" s="11"/>
      <c r="Y26" t="str">
        <f>IFERROR(VLOOKUP(D26,#REF!,2,0),"")</f>
        <v/>
      </c>
    </row>
    <row r="27" spans="2:39">
      <c r="B27" s="78" t="s">
        <v>97</v>
      </c>
      <c r="C27" t="str">
        <f>Instructions!$C$6</f>
        <v>25-26</v>
      </c>
      <c r="D27" s="17" t="s">
        <v>195</v>
      </c>
      <c r="E27" t="s">
        <v>184</v>
      </c>
      <c r="F27" t="s">
        <v>196</v>
      </c>
      <c r="G27" t="s">
        <v>186</v>
      </c>
      <c r="H27" s="19" t="s">
        <v>140</v>
      </c>
      <c r="I27" s="239">
        <v>454.5</v>
      </c>
      <c r="J27" s="239">
        <v>445.5</v>
      </c>
      <c r="K27" s="239">
        <v>0</v>
      </c>
      <c r="L27" s="239">
        <v>0</v>
      </c>
      <c r="M27" s="239">
        <v>0</v>
      </c>
      <c r="N27" s="239">
        <v>0</v>
      </c>
      <c r="O27" s="249">
        <f>SUM(Baseline[[#This Row],[CSS FSP]:[WET]])</f>
        <v>900</v>
      </c>
      <c r="P27" s="239">
        <v>315</v>
      </c>
      <c r="Q27" s="239">
        <v>558</v>
      </c>
      <c r="R27" s="239">
        <v>0</v>
      </c>
      <c r="S27" s="239">
        <v>0</v>
      </c>
      <c r="T27" s="239">
        <v>13</v>
      </c>
      <c r="U27" s="239">
        <v>13</v>
      </c>
      <c r="V27" s="249">
        <f>SUM(Baseline[[#This Row],[FSP]:[Housing - Homeless]])</f>
        <v>899</v>
      </c>
      <c r="W27" s="239">
        <f>Baseline[[#This Row],[MHSA Total]]-Baseline[[#This Row],[BHSA Total]]</f>
        <v>1</v>
      </c>
      <c r="X27" s="11"/>
      <c r="Y27" t="str">
        <f>IFERROR(VLOOKUP(D27,#REF!,2,0),"")</f>
        <v/>
      </c>
    </row>
    <row r="28" spans="2:39">
      <c r="B28" s="78" t="s">
        <v>182</v>
      </c>
      <c r="C28" t="str">
        <f>Instructions!$C$6</f>
        <v>25-26</v>
      </c>
      <c r="D28" s="17" t="s">
        <v>197</v>
      </c>
      <c r="E28" t="s">
        <v>198</v>
      </c>
      <c r="F28" t="s">
        <v>191</v>
      </c>
      <c r="G28" t="s">
        <v>192</v>
      </c>
      <c r="H28" s="19" t="s">
        <v>140</v>
      </c>
      <c r="I28" s="239">
        <v>89041.095000000001</v>
      </c>
      <c r="J28" s="239">
        <v>87277.904999999999</v>
      </c>
      <c r="K28" s="239">
        <v>0</v>
      </c>
      <c r="L28" s="239">
        <v>0</v>
      </c>
      <c r="M28" s="239">
        <v>0</v>
      </c>
      <c r="N28" s="239">
        <v>0</v>
      </c>
      <c r="O28" s="249">
        <f>SUM(Baseline[[#This Row],[CSS FSP]:[WET]])</f>
        <v>176319</v>
      </c>
      <c r="P28" s="239">
        <v>0</v>
      </c>
      <c r="Q28" s="239">
        <v>176319</v>
      </c>
      <c r="R28" s="239">
        <v>0</v>
      </c>
      <c r="S28" s="239">
        <v>0</v>
      </c>
      <c r="T28" s="239">
        <v>0</v>
      </c>
      <c r="U28" s="239">
        <v>0</v>
      </c>
      <c r="V28" s="249">
        <f>SUM(Baseline[[#This Row],[FSP]:[Housing - Homeless]])</f>
        <v>176319</v>
      </c>
      <c r="W28" s="239">
        <f>Baseline[[#This Row],[MHSA Total]]-Baseline[[#This Row],[BHSA Total]]</f>
        <v>0</v>
      </c>
      <c r="X28" s="11"/>
      <c r="Y28" t="str">
        <f>IFERROR(VLOOKUP(D28,#REF!,2,0),"")</f>
        <v/>
      </c>
    </row>
    <row r="29" spans="2:39">
      <c r="B29" s="78" t="s">
        <v>182</v>
      </c>
      <c r="C29" t="str">
        <f>Instructions!$C$6</f>
        <v>25-26</v>
      </c>
      <c r="D29" s="17" t="s">
        <v>199</v>
      </c>
      <c r="E29" t="s">
        <v>76</v>
      </c>
      <c r="F29" t="s">
        <v>200</v>
      </c>
      <c r="G29" t="s">
        <v>201</v>
      </c>
      <c r="H29" s="19" t="s">
        <v>140</v>
      </c>
      <c r="I29" s="239">
        <v>80800</v>
      </c>
      <c r="J29" s="239">
        <v>79200</v>
      </c>
      <c r="K29" s="239">
        <v>0</v>
      </c>
      <c r="L29" s="239">
        <v>0</v>
      </c>
      <c r="M29" s="239">
        <v>0</v>
      </c>
      <c r="N29" s="239">
        <v>0</v>
      </c>
      <c r="O29" s="249">
        <f>SUM(Baseline[[#This Row],[CSS FSP]:[WET]])</f>
        <v>160000</v>
      </c>
      <c r="P29" s="239">
        <v>160000</v>
      </c>
      <c r="Q29" s="239">
        <v>0</v>
      </c>
      <c r="R29" s="239">
        <v>0</v>
      </c>
      <c r="S29" s="239">
        <v>0</v>
      </c>
      <c r="T29" s="239">
        <v>0</v>
      </c>
      <c r="U29" s="239">
        <v>0</v>
      </c>
      <c r="V29" s="249">
        <f>SUM(Baseline[[#This Row],[FSP]:[Housing - Homeless]])</f>
        <v>160000</v>
      </c>
      <c r="W29" s="239">
        <f>Baseline[[#This Row],[MHSA Total]]-Baseline[[#This Row],[BHSA Total]]</f>
        <v>0</v>
      </c>
      <c r="X29" s="11"/>
      <c r="Y29" t="str">
        <f>IFERROR(VLOOKUP(D29,#REF!,2,0),"")</f>
        <v/>
      </c>
    </row>
    <row r="30" spans="2:39">
      <c r="B30" s="78" t="s">
        <v>182</v>
      </c>
      <c r="C30" t="str">
        <f>Instructions!$C$6</f>
        <v>25-26</v>
      </c>
      <c r="D30" s="17" t="s">
        <v>202</v>
      </c>
      <c r="E30" t="s">
        <v>76</v>
      </c>
      <c r="F30" t="s">
        <v>200</v>
      </c>
      <c r="G30" t="s">
        <v>201</v>
      </c>
      <c r="H30" s="19" t="s">
        <v>140</v>
      </c>
      <c r="I30" s="239">
        <v>105545</v>
      </c>
      <c r="J30" s="239">
        <v>103455</v>
      </c>
      <c r="K30" s="239">
        <v>0</v>
      </c>
      <c r="L30" s="239">
        <v>0</v>
      </c>
      <c r="M30" s="239">
        <v>0</v>
      </c>
      <c r="N30" s="239">
        <v>0</v>
      </c>
      <c r="O30" s="249">
        <f>SUM(Baseline[[#This Row],[CSS FSP]:[WET]])</f>
        <v>209000</v>
      </c>
      <c r="P30" s="239">
        <v>209000</v>
      </c>
      <c r="Q30" s="239">
        <v>0</v>
      </c>
      <c r="R30" s="239">
        <v>0</v>
      </c>
      <c r="S30" s="239">
        <v>0</v>
      </c>
      <c r="T30" s="239">
        <v>0</v>
      </c>
      <c r="U30" s="239">
        <v>0</v>
      </c>
      <c r="V30" s="249">
        <f>SUM(Baseline[[#This Row],[FSP]:[Housing - Homeless]])</f>
        <v>209000</v>
      </c>
      <c r="W30" s="239">
        <f>Baseline[[#This Row],[MHSA Total]]-Baseline[[#This Row],[BHSA Total]]</f>
        <v>0</v>
      </c>
      <c r="X30" s="11"/>
    </row>
    <row r="31" spans="2:39">
      <c r="B31" s="78" t="s">
        <v>182</v>
      </c>
      <c r="C31" t="str">
        <f>Instructions!$C$6</f>
        <v>25-26</v>
      </c>
      <c r="D31" s="17" t="s">
        <v>203</v>
      </c>
      <c r="E31" t="s">
        <v>76</v>
      </c>
      <c r="F31" t="s">
        <v>200</v>
      </c>
      <c r="G31" t="s">
        <v>201</v>
      </c>
      <c r="H31" s="19" t="s">
        <v>140</v>
      </c>
      <c r="I31" s="239">
        <v>160085</v>
      </c>
      <c r="J31" s="239">
        <v>156915</v>
      </c>
      <c r="K31" s="239">
        <v>0</v>
      </c>
      <c r="L31" s="239">
        <v>0</v>
      </c>
      <c r="M31" s="239">
        <v>0</v>
      </c>
      <c r="N31" s="239">
        <v>0</v>
      </c>
      <c r="O31" s="249">
        <f>SUM(Baseline[[#This Row],[CSS FSP]:[WET]])</f>
        <v>317000</v>
      </c>
      <c r="P31" s="239">
        <v>317000</v>
      </c>
      <c r="Q31" s="239">
        <v>0</v>
      </c>
      <c r="R31" s="239">
        <v>0</v>
      </c>
      <c r="S31" s="239">
        <v>0</v>
      </c>
      <c r="T31" s="239">
        <v>0</v>
      </c>
      <c r="U31" s="239">
        <v>0</v>
      </c>
      <c r="V31" s="249">
        <f>SUM(Baseline[[#This Row],[FSP]:[Housing - Homeless]])</f>
        <v>317000</v>
      </c>
      <c r="W31" s="239">
        <f>Baseline[[#This Row],[MHSA Total]]-Baseline[[#This Row],[BHSA Total]]</f>
        <v>0</v>
      </c>
      <c r="X31" s="11"/>
    </row>
    <row r="32" spans="2:39">
      <c r="B32" s="78" t="s">
        <v>182</v>
      </c>
      <c r="C32" t="str">
        <f>Instructions!$C$6</f>
        <v>25-26</v>
      </c>
      <c r="D32" s="17" t="s">
        <v>204</v>
      </c>
      <c r="E32" t="s">
        <v>205</v>
      </c>
      <c r="F32" t="s">
        <v>206</v>
      </c>
      <c r="G32" t="s">
        <v>207</v>
      </c>
      <c r="H32" s="19" t="s">
        <v>140</v>
      </c>
      <c r="I32" s="239">
        <v>91405</v>
      </c>
      <c r="J32" s="239">
        <v>89595</v>
      </c>
      <c r="K32" s="239">
        <v>0</v>
      </c>
      <c r="L32" s="239">
        <v>0</v>
      </c>
      <c r="M32" s="239">
        <v>0</v>
      </c>
      <c r="N32" s="239">
        <v>0</v>
      </c>
      <c r="O32" s="249">
        <f>SUM(Baseline[[#This Row],[CSS FSP]:[WET]])</f>
        <v>181000</v>
      </c>
      <c r="P32" s="239">
        <v>63350</v>
      </c>
      <c r="Q32" s="239">
        <v>117650</v>
      </c>
      <c r="R32" s="239">
        <v>0</v>
      </c>
      <c r="S32" s="239">
        <v>0</v>
      </c>
      <c r="T32" s="239">
        <v>0</v>
      </c>
      <c r="U32" s="239">
        <v>0</v>
      </c>
      <c r="V32" s="249">
        <f>SUM(Baseline[[#This Row],[FSP]:[Housing - Homeless]])</f>
        <v>181000</v>
      </c>
      <c r="W32" s="239">
        <f>Baseline[[#This Row],[MHSA Total]]-Baseline[[#This Row],[BHSA Total]]</f>
        <v>0</v>
      </c>
      <c r="X32" s="11"/>
    </row>
    <row r="33" spans="1:24">
      <c r="B33" s="78" t="s">
        <v>182</v>
      </c>
      <c r="C33" t="str">
        <f>Instructions!$C$6</f>
        <v>25-26</v>
      </c>
      <c r="D33" s="17" t="s">
        <v>208</v>
      </c>
      <c r="E33" t="s">
        <v>198</v>
      </c>
      <c r="F33" t="s">
        <v>191</v>
      </c>
      <c r="G33" t="s">
        <v>192</v>
      </c>
      <c r="H33" s="19" t="s">
        <v>140</v>
      </c>
      <c r="I33" s="239">
        <v>63125</v>
      </c>
      <c r="J33" s="239">
        <v>61875</v>
      </c>
      <c r="K33" s="239">
        <v>0</v>
      </c>
      <c r="L33" s="239">
        <v>0</v>
      </c>
      <c r="M33" s="239">
        <v>0</v>
      </c>
      <c r="N33" s="239">
        <v>0</v>
      </c>
      <c r="O33" s="249">
        <f>SUM(Baseline[[#This Row],[CSS FSP]:[WET]])</f>
        <v>125000</v>
      </c>
      <c r="P33" s="239">
        <v>0</v>
      </c>
      <c r="Q33" s="239">
        <v>125000</v>
      </c>
      <c r="R33" s="239">
        <v>0</v>
      </c>
      <c r="S33" s="239">
        <v>0</v>
      </c>
      <c r="T33" s="239">
        <v>0</v>
      </c>
      <c r="U33" s="239">
        <v>0</v>
      </c>
      <c r="V33" s="249">
        <f>SUM(Baseline[[#This Row],[FSP]:[Housing - Homeless]])</f>
        <v>125000</v>
      </c>
      <c r="W33" s="239">
        <f>Baseline[[#This Row],[MHSA Total]]-Baseline[[#This Row],[BHSA Total]]</f>
        <v>0</v>
      </c>
      <c r="X33" s="11"/>
    </row>
    <row r="34" spans="1:24">
      <c r="B34" s="78" t="s">
        <v>182</v>
      </c>
      <c r="C34" t="str">
        <f>Instructions!$C$6</f>
        <v>25-26</v>
      </c>
      <c r="D34" s="17" t="s">
        <v>209</v>
      </c>
      <c r="E34" t="s">
        <v>210</v>
      </c>
      <c r="F34" t="s">
        <v>211</v>
      </c>
      <c r="G34" t="s">
        <v>212</v>
      </c>
      <c r="H34" s="19" t="s">
        <v>140</v>
      </c>
      <c r="I34" s="239">
        <v>1409546.91</v>
      </c>
      <c r="J34" s="239">
        <v>1381635.09</v>
      </c>
      <c r="K34" s="239">
        <v>0</v>
      </c>
      <c r="L34" s="239">
        <v>0</v>
      </c>
      <c r="M34" s="239">
        <v>0</v>
      </c>
      <c r="N34" s="239">
        <v>0</v>
      </c>
      <c r="O34" s="249">
        <f>SUM(Baseline[[#This Row],[CSS FSP]:[WET]])</f>
        <v>2791182</v>
      </c>
      <c r="P34" s="239">
        <v>1395591</v>
      </c>
      <c r="Q34" s="239">
        <v>0</v>
      </c>
      <c r="R34" s="239">
        <v>0</v>
      </c>
      <c r="S34" s="239">
        <v>0</v>
      </c>
      <c r="T34" s="239">
        <v>418677</v>
      </c>
      <c r="U34" s="239">
        <v>418677</v>
      </c>
      <c r="V34" s="249">
        <f>SUM(Baseline[[#This Row],[FSP]:[Housing - Homeless]])</f>
        <v>2232945</v>
      </c>
      <c r="W34" s="239">
        <f>Baseline[[#This Row],[MHSA Total]]-Baseline[[#This Row],[BHSA Total]]</f>
        <v>558237</v>
      </c>
      <c r="X34" s="11"/>
    </row>
    <row r="35" spans="1:24">
      <c r="B35" s="78" t="s">
        <v>182</v>
      </c>
      <c r="C35" t="str">
        <f>Instructions!$C$6</f>
        <v>25-26</v>
      </c>
      <c r="D35" s="17" t="s">
        <v>209</v>
      </c>
      <c r="E35" t="s">
        <v>210</v>
      </c>
      <c r="F35" t="s">
        <v>211</v>
      </c>
      <c r="G35" t="s">
        <v>213</v>
      </c>
      <c r="H35" s="19" t="s">
        <v>145</v>
      </c>
      <c r="I35" s="239">
        <v>-732964</v>
      </c>
      <c r="J35" s="239">
        <v>-718450</v>
      </c>
      <c r="K35" s="239">
        <v>0</v>
      </c>
      <c r="L35" s="239">
        <v>0</v>
      </c>
      <c r="M35" s="239">
        <v>0</v>
      </c>
      <c r="N35" s="239">
        <v>0</v>
      </c>
      <c r="O35" s="249">
        <f>SUM(Baseline[[#This Row],[CSS FSP]:[WET]])</f>
        <v>-1451414</v>
      </c>
      <c r="P35" s="239">
        <v>-488456</v>
      </c>
      <c r="Q35" s="239">
        <v>0</v>
      </c>
      <c r="R35" s="239">
        <v>0</v>
      </c>
      <c r="S35" s="239">
        <v>0</v>
      </c>
      <c r="T35" s="239">
        <v>0</v>
      </c>
      <c r="U35" s="239">
        <v>0</v>
      </c>
      <c r="V35" s="249">
        <f>SUM(Baseline[[#This Row],[FSP]:[Housing - Homeless]])</f>
        <v>-488456</v>
      </c>
      <c r="W35" s="239">
        <f>Baseline[[#This Row],[MHSA Total]]-Baseline[[#This Row],[BHSA Total]]</f>
        <v>-962958</v>
      </c>
      <c r="X35" s="11"/>
    </row>
    <row r="36" spans="1:24">
      <c r="B36" s="78" t="s">
        <v>97</v>
      </c>
      <c r="C36" t="str">
        <f>Instructions!$C$6</f>
        <v>25-26</v>
      </c>
      <c r="D36" s="17" t="s">
        <v>214</v>
      </c>
      <c r="E36" t="s">
        <v>215</v>
      </c>
      <c r="F36" t="s">
        <v>216</v>
      </c>
      <c r="G36" t="s">
        <v>215</v>
      </c>
      <c r="H36" s="19" t="s">
        <v>140</v>
      </c>
      <c r="I36" s="239">
        <v>68099.371199999994</v>
      </c>
      <c r="J36" s="239">
        <v>66750.868799999997</v>
      </c>
      <c r="K36" s="239">
        <v>0</v>
      </c>
      <c r="L36" s="239">
        <v>0</v>
      </c>
      <c r="M36" s="239">
        <v>0</v>
      </c>
      <c r="N36" s="239">
        <v>0</v>
      </c>
      <c r="O36" s="249">
        <f>SUM(Baseline[[#This Row],[CSS FSP]:[WET]])</f>
        <v>134850.23999999999</v>
      </c>
      <c r="P36" s="239">
        <v>47197</v>
      </c>
      <c r="Q36" s="239">
        <v>87652</v>
      </c>
      <c r="R36" s="239">
        <v>0</v>
      </c>
      <c r="S36" s="239">
        <v>0</v>
      </c>
      <c r="T36" s="239">
        <v>0</v>
      </c>
      <c r="U36" s="239">
        <v>0</v>
      </c>
      <c r="V36" s="249">
        <f>SUM(Baseline[[#This Row],[FSP]:[Housing - Homeless]])</f>
        <v>134849</v>
      </c>
      <c r="W36" s="239">
        <f>Baseline[[#This Row],[MHSA Total]]-Baseline[[#This Row],[BHSA Total]]</f>
        <v>1.2399999999906868</v>
      </c>
      <c r="X36" s="11"/>
    </row>
    <row r="37" spans="1:24">
      <c r="B37" s="78" t="s">
        <v>182</v>
      </c>
      <c r="C37" t="str">
        <f>Instructions!$C$6</f>
        <v>25-26</v>
      </c>
      <c r="D37" s="17" t="s">
        <v>204</v>
      </c>
      <c r="E37" t="s">
        <v>205</v>
      </c>
      <c r="F37" t="s">
        <v>206</v>
      </c>
      <c r="G37" t="s">
        <v>207</v>
      </c>
      <c r="H37" s="19" t="s">
        <v>140</v>
      </c>
      <c r="I37" s="239">
        <v>5420165</v>
      </c>
      <c r="J37" s="239">
        <v>5312835</v>
      </c>
      <c r="K37" s="239">
        <v>0</v>
      </c>
      <c r="L37" s="239">
        <v>0</v>
      </c>
      <c r="M37" s="239">
        <v>0</v>
      </c>
      <c r="N37" s="239">
        <v>0</v>
      </c>
      <c r="O37" s="249">
        <f>SUM(Baseline[[#This Row],[CSS FSP]:[WET]])</f>
        <v>10733000</v>
      </c>
      <c r="P37" s="239">
        <v>2683250</v>
      </c>
      <c r="Q37" s="239">
        <v>0</v>
      </c>
      <c r="R37" s="239">
        <v>0</v>
      </c>
      <c r="S37" s="239">
        <v>0</v>
      </c>
      <c r="T37" s="239">
        <v>0</v>
      </c>
      <c r="U37" s="239">
        <v>0</v>
      </c>
      <c r="V37" s="249">
        <f>SUM(Baseline[[#This Row],[FSP]:[Housing - Homeless]])</f>
        <v>2683250</v>
      </c>
      <c r="W37" s="239">
        <f>Baseline[[#This Row],[MHSA Total]]-Baseline[[#This Row],[BHSA Total]]</f>
        <v>8049750</v>
      </c>
      <c r="X37" s="11"/>
    </row>
    <row r="38" spans="1:24">
      <c r="B38" s="78" t="s">
        <v>182</v>
      </c>
      <c r="C38" t="str">
        <f>Instructions!$C$6</f>
        <v>25-26</v>
      </c>
      <c r="D38" s="17" t="s">
        <v>204</v>
      </c>
      <c r="E38" t="s">
        <v>205</v>
      </c>
      <c r="F38" t="s">
        <v>206</v>
      </c>
      <c r="G38" t="s">
        <v>207</v>
      </c>
      <c r="H38" s="19" t="s">
        <v>145</v>
      </c>
      <c r="I38" s="239">
        <v>-2818485</v>
      </c>
      <c r="J38" s="239">
        <v>-2762674</v>
      </c>
      <c r="K38" s="239">
        <v>0</v>
      </c>
      <c r="L38" s="239">
        <v>0</v>
      </c>
      <c r="M38" s="239">
        <v>0</v>
      </c>
      <c r="N38" s="239">
        <v>0</v>
      </c>
      <c r="O38" s="249">
        <f>SUM(Baseline[[#This Row],[CSS FSP]:[WET]])</f>
        <v>-5581159</v>
      </c>
      <c r="P38" s="239">
        <v>-1829727</v>
      </c>
      <c r="Q38" s="239">
        <v>0</v>
      </c>
      <c r="R38" s="239">
        <v>0</v>
      </c>
      <c r="S38" s="239">
        <v>0</v>
      </c>
      <c r="T38" s="239">
        <v>0</v>
      </c>
      <c r="U38" s="239">
        <v>0</v>
      </c>
      <c r="V38" s="249">
        <f>SUM(Baseline[[#This Row],[FSP]:[Housing - Homeless]])</f>
        <v>-1829727</v>
      </c>
      <c r="W38" s="239">
        <f>Baseline[[#This Row],[MHSA Total]]-Baseline[[#This Row],[BHSA Total]]</f>
        <v>-3751432</v>
      </c>
      <c r="X38" s="11"/>
    </row>
    <row r="39" spans="1:24">
      <c r="B39" s="78" t="s">
        <v>182</v>
      </c>
      <c r="C39" t="str">
        <f>Instructions!$C$6</f>
        <v>25-26</v>
      </c>
      <c r="D39" s="17" t="s">
        <v>217</v>
      </c>
      <c r="E39" t="s">
        <v>218</v>
      </c>
      <c r="F39" t="s">
        <v>219</v>
      </c>
      <c r="G39" t="s">
        <v>220</v>
      </c>
      <c r="H39" s="19" t="s">
        <v>140</v>
      </c>
      <c r="I39" s="239">
        <v>1587402.355</v>
      </c>
      <c r="J39" s="239">
        <v>1555968.645</v>
      </c>
      <c r="K39" s="239">
        <v>0</v>
      </c>
      <c r="L39" s="239">
        <v>0</v>
      </c>
      <c r="M39" s="239">
        <v>0</v>
      </c>
      <c r="N39" s="239">
        <v>0</v>
      </c>
      <c r="O39" s="249">
        <f>SUM(Baseline[[#This Row],[CSS FSP]:[WET]])</f>
        <v>3143371</v>
      </c>
      <c r="P39" s="239">
        <v>1100179</v>
      </c>
      <c r="Q39" s="239">
        <v>0</v>
      </c>
      <c r="R39" s="239">
        <v>0</v>
      </c>
      <c r="S39" s="239">
        <v>0</v>
      </c>
      <c r="T39" s="239">
        <v>0</v>
      </c>
      <c r="U39" s="239">
        <v>0</v>
      </c>
      <c r="V39" s="249">
        <f>SUM(Baseline[[#This Row],[FSP]:[Housing - Homeless]])</f>
        <v>1100179</v>
      </c>
      <c r="W39" s="239">
        <f>Baseline[[#This Row],[MHSA Total]]-Baseline[[#This Row],[BHSA Total]]</f>
        <v>2043192</v>
      </c>
      <c r="X39" s="11"/>
    </row>
    <row r="40" spans="1:24">
      <c r="B40" s="78" t="s">
        <v>182</v>
      </c>
      <c r="C40" t="str">
        <f>Instructions!$C$6</f>
        <v>25-26</v>
      </c>
      <c r="D40" s="17" t="s">
        <v>217</v>
      </c>
      <c r="E40" t="s">
        <v>218</v>
      </c>
      <c r="F40" t="s">
        <v>219</v>
      </c>
      <c r="G40" t="s">
        <v>220</v>
      </c>
      <c r="H40" s="19" t="s">
        <v>145</v>
      </c>
      <c r="I40" s="239">
        <v>-825449</v>
      </c>
      <c r="J40" s="239">
        <v>-809103</v>
      </c>
      <c r="K40" s="239">
        <v>0</v>
      </c>
      <c r="L40" s="239">
        <v>0</v>
      </c>
      <c r="M40" s="239">
        <v>0</v>
      </c>
      <c r="N40" s="239">
        <v>0</v>
      </c>
      <c r="O40" s="249">
        <f>SUM(Baseline[[#This Row],[CSS FSP]:[WET]])</f>
        <v>-1634552</v>
      </c>
      <c r="P40" s="239">
        <v>-483512</v>
      </c>
      <c r="Q40" s="239">
        <v>0</v>
      </c>
      <c r="R40" s="239">
        <v>0</v>
      </c>
      <c r="S40" s="239">
        <v>0</v>
      </c>
      <c r="T40" s="239">
        <v>0</v>
      </c>
      <c r="U40" s="239">
        <v>0</v>
      </c>
      <c r="V40" s="249">
        <f>SUM(Baseline[[#This Row],[FSP]:[Housing - Homeless]])</f>
        <v>-483512</v>
      </c>
      <c r="W40" s="239">
        <f>Baseline[[#This Row],[MHSA Total]]-Baseline[[#This Row],[BHSA Total]]</f>
        <v>-1151040</v>
      </c>
      <c r="X40" s="11"/>
    </row>
    <row r="41" spans="1:24">
      <c r="B41" s="78" t="s">
        <v>182</v>
      </c>
      <c r="C41" t="str">
        <f>Instructions!$C$6</f>
        <v>25-26</v>
      </c>
      <c r="D41" s="17" t="s">
        <v>221</v>
      </c>
      <c r="E41" t="s">
        <v>218</v>
      </c>
      <c r="F41" t="s">
        <v>222</v>
      </c>
      <c r="G41" t="s">
        <v>220</v>
      </c>
      <c r="H41" s="19" t="s">
        <v>140</v>
      </c>
      <c r="I41" s="239">
        <v>2272500</v>
      </c>
      <c r="J41" s="239">
        <v>2227500</v>
      </c>
      <c r="K41" s="239">
        <v>0</v>
      </c>
      <c r="L41" s="239">
        <v>0</v>
      </c>
      <c r="M41" s="239">
        <v>0</v>
      </c>
      <c r="N41" s="239">
        <v>0</v>
      </c>
      <c r="O41" s="249">
        <f>SUM(Baseline[[#This Row],[CSS FSP]:[WET]])</f>
        <v>4500000</v>
      </c>
      <c r="P41" s="239">
        <v>1575000</v>
      </c>
      <c r="Q41" s="239">
        <v>0</v>
      </c>
      <c r="R41" s="239">
        <v>0</v>
      </c>
      <c r="S41" s="239">
        <v>0</v>
      </c>
      <c r="T41" s="239">
        <v>0</v>
      </c>
      <c r="U41" s="239">
        <v>0</v>
      </c>
      <c r="V41" s="249">
        <f>SUM(Baseline[[#This Row],[FSP]:[Housing - Homeless]])</f>
        <v>1575000</v>
      </c>
      <c r="W41" s="239">
        <f>Baseline[[#This Row],[MHSA Total]]-Baseline[[#This Row],[BHSA Total]]</f>
        <v>2925000</v>
      </c>
      <c r="X41" s="11"/>
    </row>
    <row r="42" spans="1:24">
      <c r="B42" s="78" t="s">
        <v>182</v>
      </c>
      <c r="C42" t="str">
        <f>Instructions!$C$6</f>
        <v>25-26</v>
      </c>
      <c r="D42" s="17" t="s">
        <v>221</v>
      </c>
      <c r="E42" t="s">
        <v>218</v>
      </c>
      <c r="F42" t="s">
        <v>222</v>
      </c>
      <c r="G42" t="s">
        <v>220</v>
      </c>
      <c r="H42" s="19" t="s">
        <v>145</v>
      </c>
      <c r="I42" s="239">
        <v>-1181700</v>
      </c>
      <c r="J42" s="239">
        <v>-1158300</v>
      </c>
      <c r="K42" s="239">
        <v>0</v>
      </c>
      <c r="L42" s="239">
        <v>0</v>
      </c>
      <c r="M42" s="239">
        <v>0</v>
      </c>
      <c r="N42" s="239">
        <v>0</v>
      </c>
      <c r="O42" s="249">
        <f>SUM(Baseline[[#This Row],[CSS FSP]:[WET]])</f>
        <v>-2340000</v>
      </c>
      <c r="P42" s="239">
        <v>-1094883</v>
      </c>
      <c r="Q42" s="239">
        <v>0</v>
      </c>
      <c r="R42" s="239">
        <v>0</v>
      </c>
      <c r="S42" s="239">
        <v>0</v>
      </c>
      <c r="T42" s="239">
        <v>0</v>
      </c>
      <c r="U42" s="239">
        <v>0</v>
      </c>
      <c r="V42" s="249">
        <f>SUM(Baseline[[#This Row],[FSP]:[Housing - Homeless]])</f>
        <v>-1094883</v>
      </c>
      <c r="W42" s="239">
        <f>Baseline[[#This Row],[MHSA Total]]-Baseline[[#This Row],[BHSA Total]]</f>
        <v>-1245117</v>
      </c>
      <c r="X42" s="11"/>
    </row>
    <row r="43" spans="1:24">
      <c r="A43" s="279"/>
      <c r="B43" s="78" t="s">
        <v>182</v>
      </c>
      <c r="C43" t="str">
        <f>Instructions!$C$6</f>
        <v>25-26</v>
      </c>
      <c r="D43" s="17" t="s">
        <v>223</v>
      </c>
      <c r="E43" t="s">
        <v>224</v>
      </c>
      <c r="F43" t="s">
        <v>225</v>
      </c>
      <c r="G43" t="s">
        <v>226</v>
      </c>
      <c r="H43" s="19" t="s">
        <v>140</v>
      </c>
      <c r="I43" s="239">
        <v>1697318.1300000001</v>
      </c>
      <c r="J43" s="239">
        <v>1663707.8699999999</v>
      </c>
      <c r="K43" s="239">
        <v>0</v>
      </c>
      <c r="L43" s="239">
        <v>0</v>
      </c>
      <c r="M43" s="239">
        <v>0</v>
      </c>
      <c r="N43" s="239">
        <v>0</v>
      </c>
      <c r="O43" s="249">
        <f>SUM(Baseline[[#This Row],[CSS FSP]:[WET]])</f>
        <v>3361026</v>
      </c>
      <c r="P43" s="239">
        <v>0</v>
      </c>
      <c r="Q43" s="239">
        <v>0</v>
      </c>
      <c r="R43" s="239">
        <v>0</v>
      </c>
      <c r="S43" s="239">
        <v>0</v>
      </c>
      <c r="T43" s="239">
        <v>0</v>
      </c>
      <c r="U43" s="239">
        <v>0</v>
      </c>
      <c r="V43" s="249">
        <f>SUM(Baseline[[#This Row],[FSP]:[Housing - Homeless]])</f>
        <v>0</v>
      </c>
      <c r="W43" s="239">
        <f>Baseline[[#This Row],[MHSA Total]]-Baseline[[#This Row],[BHSA Total]]</f>
        <v>3361026</v>
      </c>
      <c r="X43" s="11"/>
    </row>
    <row r="44" spans="1:24">
      <c r="A44" s="279"/>
      <c r="B44" s="78" t="s">
        <v>182</v>
      </c>
      <c r="C44" t="str">
        <f>Instructions!$C$6</f>
        <v>25-26</v>
      </c>
      <c r="D44" s="17" t="s">
        <v>223</v>
      </c>
      <c r="E44" t="s">
        <v>224</v>
      </c>
      <c r="F44" t="s">
        <v>225</v>
      </c>
      <c r="G44" t="s">
        <v>226</v>
      </c>
      <c r="H44" s="19" t="s">
        <v>145</v>
      </c>
      <c r="I44" s="239">
        <v>-1697318</v>
      </c>
      <c r="J44" s="239">
        <v>-1663707</v>
      </c>
      <c r="K44" s="239">
        <v>0</v>
      </c>
      <c r="L44" s="239">
        <v>0</v>
      </c>
      <c r="M44" s="239">
        <v>0</v>
      </c>
      <c r="N44" s="239">
        <v>0</v>
      </c>
      <c r="O44" s="249">
        <f>SUM(Baseline[[#This Row],[CSS FSP]:[WET]])</f>
        <v>-3361025</v>
      </c>
      <c r="P44" s="239">
        <v>0</v>
      </c>
      <c r="Q44" s="239">
        <v>0</v>
      </c>
      <c r="R44" s="239">
        <v>0</v>
      </c>
      <c r="S44" s="239">
        <v>0</v>
      </c>
      <c r="T44" s="239">
        <v>0</v>
      </c>
      <c r="U44" s="239">
        <v>0</v>
      </c>
      <c r="V44" s="249">
        <f>SUM(Baseline[[#This Row],[FSP]:[Housing - Homeless]])</f>
        <v>0</v>
      </c>
      <c r="W44" s="239">
        <f>Baseline[[#This Row],[MHSA Total]]-Baseline[[#This Row],[BHSA Total]]</f>
        <v>-3361025</v>
      </c>
      <c r="X44" s="11"/>
    </row>
    <row r="45" spans="1:24">
      <c r="B45" s="78" t="s">
        <v>182</v>
      </c>
      <c r="C45" t="str">
        <f>Instructions!$C$6</f>
        <v>25-26</v>
      </c>
      <c r="D45" s="17" t="s">
        <v>227</v>
      </c>
      <c r="E45" t="s">
        <v>228</v>
      </c>
      <c r="F45" t="s">
        <v>229</v>
      </c>
      <c r="G45" t="s">
        <v>230</v>
      </c>
      <c r="H45" s="19" t="s">
        <v>140</v>
      </c>
      <c r="I45" s="239">
        <v>0</v>
      </c>
      <c r="J45" s="239">
        <v>0</v>
      </c>
      <c r="K45" s="239">
        <v>273741</v>
      </c>
      <c r="L45" s="239">
        <v>0</v>
      </c>
      <c r="M45" s="239">
        <v>0</v>
      </c>
      <c r="N45" s="239">
        <v>0</v>
      </c>
      <c r="O45" s="249">
        <f>SUM(Baseline[[#This Row],[CSS FSP]:[WET]])</f>
        <v>273741</v>
      </c>
      <c r="P45" s="239">
        <v>0</v>
      </c>
      <c r="Q45" s="239">
        <v>0</v>
      </c>
      <c r="R45" s="239">
        <v>0</v>
      </c>
      <c r="S45" s="239">
        <v>273741</v>
      </c>
      <c r="T45" s="239">
        <v>0</v>
      </c>
      <c r="U45" s="239">
        <v>0</v>
      </c>
      <c r="V45" s="249">
        <f>SUM(Baseline[[#This Row],[FSP]:[Housing - Homeless]])</f>
        <v>273741</v>
      </c>
      <c r="W45" s="239">
        <f>Baseline[[#This Row],[MHSA Total]]-Baseline[[#This Row],[BHSA Total]]</f>
        <v>0</v>
      </c>
      <c r="X45" s="11"/>
    </row>
    <row r="46" spans="1:24">
      <c r="B46" s="78" t="s">
        <v>182</v>
      </c>
      <c r="C46" t="str">
        <f>Instructions!$C$6</f>
        <v>25-26</v>
      </c>
      <c r="D46" s="17" t="s">
        <v>231</v>
      </c>
      <c r="E46" t="s">
        <v>232</v>
      </c>
      <c r="F46" t="s">
        <v>233</v>
      </c>
      <c r="G46" t="s">
        <v>232</v>
      </c>
      <c r="H46" s="19" t="s">
        <v>140</v>
      </c>
      <c r="I46" s="239">
        <v>0</v>
      </c>
      <c r="J46" s="239">
        <v>0</v>
      </c>
      <c r="K46" s="239">
        <v>1358402</v>
      </c>
      <c r="L46" s="239">
        <v>0</v>
      </c>
      <c r="M46" s="239">
        <v>0</v>
      </c>
      <c r="N46" s="239">
        <v>0</v>
      </c>
      <c r="O46" s="249">
        <f>SUM(Baseline[[#This Row],[CSS FSP]:[WET]])</f>
        <v>1358402</v>
      </c>
      <c r="P46" s="239">
        <v>203760</v>
      </c>
      <c r="Q46" s="239">
        <v>271680</v>
      </c>
      <c r="R46" s="239">
        <v>309036</v>
      </c>
      <c r="S46" s="239">
        <v>573924</v>
      </c>
      <c r="T46" s="239">
        <v>0</v>
      </c>
      <c r="U46" s="239">
        <v>0</v>
      </c>
      <c r="V46" s="249">
        <f>SUM(Baseline[[#This Row],[FSP]:[Housing - Homeless]])</f>
        <v>1358400</v>
      </c>
      <c r="W46" s="239">
        <f>Baseline[[#This Row],[MHSA Total]]-Baseline[[#This Row],[BHSA Total]]</f>
        <v>2</v>
      </c>
      <c r="X46" s="11"/>
    </row>
    <row r="47" spans="1:24" ht="30">
      <c r="B47" s="78" t="s">
        <v>182</v>
      </c>
      <c r="C47" t="str">
        <f>Instructions!$C$6</f>
        <v>25-26</v>
      </c>
      <c r="D47" s="17" t="s">
        <v>234</v>
      </c>
      <c r="E47" t="s">
        <v>228</v>
      </c>
      <c r="F47" t="s">
        <v>229</v>
      </c>
      <c r="G47" t="s">
        <v>230</v>
      </c>
      <c r="H47" s="19" t="s">
        <v>140</v>
      </c>
      <c r="I47" s="239">
        <v>0</v>
      </c>
      <c r="J47" s="239">
        <v>0</v>
      </c>
      <c r="K47" s="239">
        <v>415560</v>
      </c>
      <c r="L47" s="239">
        <v>0</v>
      </c>
      <c r="M47" s="239">
        <v>0</v>
      </c>
      <c r="N47" s="239">
        <v>0</v>
      </c>
      <c r="O47" s="249">
        <f>SUM(Baseline[[#This Row],[CSS FSP]:[WET]])</f>
        <v>415560</v>
      </c>
      <c r="P47" s="239">
        <v>0</v>
      </c>
      <c r="Q47" s="239">
        <v>0</v>
      </c>
      <c r="R47" s="239">
        <v>0</v>
      </c>
      <c r="S47" s="239">
        <v>415560</v>
      </c>
      <c r="T47" s="239">
        <v>0</v>
      </c>
      <c r="U47" s="239">
        <v>0</v>
      </c>
      <c r="V47" s="249">
        <f>SUM(Baseline[[#This Row],[FSP]:[Housing - Homeless]])</f>
        <v>415560</v>
      </c>
      <c r="W47" s="239">
        <f>Baseline[[#This Row],[MHSA Total]]-Baseline[[#This Row],[BHSA Total]]</f>
        <v>0</v>
      </c>
      <c r="X47" s="11"/>
    </row>
    <row r="48" spans="1:24" ht="30">
      <c r="B48" s="78" t="s">
        <v>182</v>
      </c>
      <c r="C48" t="str">
        <f>Instructions!$C$6</f>
        <v>25-26</v>
      </c>
      <c r="D48" s="17" t="s">
        <v>235</v>
      </c>
      <c r="E48" t="s">
        <v>228</v>
      </c>
      <c r="F48" t="s">
        <v>229</v>
      </c>
      <c r="G48" t="s">
        <v>230</v>
      </c>
      <c r="H48" s="19" t="s">
        <v>140</v>
      </c>
      <c r="I48" s="239">
        <v>0</v>
      </c>
      <c r="J48" s="239">
        <v>0</v>
      </c>
      <c r="K48" s="239">
        <v>481511</v>
      </c>
      <c r="L48" s="239">
        <v>0</v>
      </c>
      <c r="M48" s="239">
        <v>0</v>
      </c>
      <c r="N48" s="239">
        <v>0</v>
      </c>
      <c r="O48" s="249">
        <f>SUM(Baseline[[#This Row],[CSS FSP]:[WET]])</f>
        <v>481511</v>
      </c>
      <c r="P48" s="239">
        <v>0</v>
      </c>
      <c r="Q48" s="239">
        <v>0</v>
      </c>
      <c r="R48" s="239">
        <v>0</v>
      </c>
      <c r="S48" s="239">
        <v>481511</v>
      </c>
      <c r="T48" s="239">
        <v>0</v>
      </c>
      <c r="U48" s="239">
        <v>0</v>
      </c>
      <c r="V48" s="249">
        <f>SUM(Baseline[[#This Row],[FSP]:[Housing - Homeless]])</f>
        <v>481511</v>
      </c>
      <c r="W48" s="239">
        <f>Baseline[[#This Row],[MHSA Total]]-Baseline[[#This Row],[BHSA Total]]</f>
        <v>0</v>
      </c>
      <c r="X48" s="11"/>
    </row>
    <row r="49" spans="2:24">
      <c r="B49" s="78" t="s">
        <v>182</v>
      </c>
      <c r="C49" t="str">
        <f>Instructions!$C$6</f>
        <v>25-26</v>
      </c>
      <c r="D49" s="17" t="s">
        <v>236</v>
      </c>
      <c r="E49" t="s">
        <v>228</v>
      </c>
      <c r="F49" t="s">
        <v>229</v>
      </c>
      <c r="G49" t="s">
        <v>230</v>
      </c>
      <c r="H49" s="19" t="s">
        <v>140</v>
      </c>
      <c r="I49" s="239">
        <v>0</v>
      </c>
      <c r="J49" s="239">
        <v>0</v>
      </c>
      <c r="K49" s="239">
        <v>199550</v>
      </c>
      <c r="L49" s="239">
        <v>0</v>
      </c>
      <c r="M49" s="239">
        <v>0</v>
      </c>
      <c r="N49" s="239">
        <v>0</v>
      </c>
      <c r="O49" s="249">
        <f>SUM(Baseline[[#This Row],[CSS FSP]:[WET]])</f>
        <v>199550</v>
      </c>
      <c r="P49" s="239">
        <v>0</v>
      </c>
      <c r="Q49" s="239">
        <v>0</v>
      </c>
      <c r="R49" s="239">
        <v>0</v>
      </c>
      <c r="S49" s="239">
        <v>199550</v>
      </c>
      <c r="T49" s="239">
        <v>0</v>
      </c>
      <c r="U49" s="239">
        <v>0</v>
      </c>
      <c r="V49" s="249">
        <f>SUM(Baseline[[#This Row],[FSP]:[Housing - Homeless]])</f>
        <v>199550</v>
      </c>
      <c r="W49" s="239">
        <f>Baseline[[#This Row],[MHSA Total]]-Baseline[[#This Row],[BHSA Total]]</f>
        <v>0</v>
      </c>
      <c r="X49" s="11"/>
    </row>
    <row r="50" spans="2:24">
      <c r="B50" s="78" t="s">
        <v>182</v>
      </c>
      <c r="C50" t="str">
        <f>Instructions!$C$6</f>
        <v>25-26</v>
      </c>
      <c r="D50" s="17" t="s">
        <v>237</v>
      </c>
      <c r="E50" t="s">
        <v>228</v>
      </c>
      <c r="F50" t="s">
        <v>229</v>
      </c>
      <c r="G50" t="s">
        <v>230</v>
      </c>
      <c r="H50" s="19" t="s">
        <v>140</v>
      </c>
      <c r="I50" s="239">
        <v>0</v>
      </c>
      <c r="J50" s="239">
        <v>0</v>
      </c>
      <c r="K50" s="239">
        <v>198987</v>
      </c>
      <c r="L50" s="239">
        <v>0</v>
      </c>
      <c r="M50" s="239">
        <v>0</v>
      </c>
      <c r="N50" s="239">
        <v>0</v>
      </c>
      <c r="O50" s="249">
        <f>SUM(Baseline[[#This Row],[CSS FSP]:[WET]])</f>
        <v>198987</v>
      </c>
      <c r="P50" s="239">
        <v>0</v>
      </c>
      <c r="Q50" s="239">
        <v>0</v>
      </c>
      <c r="R50" s="239">
        <v>0</v>
      </c>
      <c r="S50" s="239">
        <v>198987</v>
      </c>
      <c r="T50" s="239">
        <v>0</v>
      </c>
      <c r="U50" s="239">
        <v>0</v>
      </c>
      <c r="V50" s="249">
        <f>SUM(Baseline[[#This Row],[FSP]:[Housing - Homeless]])</f>
        <v>198987</v>
      </c>
      <c r="W50" s="239">
        <f>Baseline[[#This Row],[MHSA Total]]-Baseline[[#This Row],[BHSA Total]]</f>
        <v>0</v>
      </c>
      <c r="X50" s="11"/>
    </row>
    <row r="51" spans="2:24" ht="30">
      <c r="B51" s="78" t="s">
        <v>182</v>
      </c>
      <c r="C51" t="str">
        <f>Instructions!$C$6</f>
        <v>25-26</v>
      </c>
      <c r="D51" s="17" t="s">
        <v>238</v>
      </c>
      <c r="E51" t="s">
        <v>228</v>
      </c>
      <c r="F51" t="s">
        <v>229</v>
      </c>
      <c r="G51" t="s">
        <v>230</v>
      </c>
      <c r="H51" s="19" t="s">
        <v>140</v>
      </c>
      <c r="I51" s="239">
        <v>0</v>
      </c>
      <c r="J51" s="239">
        <v>0</v>
      </c>
      <c r="K51" s="239">
        <v>261373</v>
      </c>
      <c r="L51" s="239">
        <v>0</v>
      </c>
      <c r="M51" s="239">
        <v>0</v>
      </c>
      <c r="N51" s="239">
        <v>0</v>
      </c>
      <c r="O51" s="249">
        <f>SUM(Baseline[[#This Row],[CSS FSP]:[WET]])</f>
        <v>261373</v>
      </c>
      <c r="P51" s="239">
        <v>0</v>
      </c>
      <c r="Q51" s="239">
        <v>0</v>
      </c>
      <c r="R51" s="239">
        <v>0</v>
      </c>
      <c r="S51" s="239">
        <v>261373</v>
      </c>
      <c r="T51" s="239">
        <v>0</v>
      </c>
      <c r="U51" s="239">
        <v>0</v>
      </c>
      <c r="V51" s="249">
        <f>SUM(Baseline[[#This Row],[FSP]:[Housing - Homeless]])</f>
        <v>261373</v>
      </c>
      <c r="W51" s="239">
        <f>Baseline[[#This Row],[MHSA Total]]-Baseline[[#This Row],[BHSA Total]]</f>
        <v>0</v>
      </c>
      <c r="X51" s="11"/>
    </row>
    <row r="52" spans="2:24">
      <c r="B52" s="78" t="s">
        <v>182</v>
      </c>
      <c r="C52" t="str">
        <f>Instructions!$C$6</f>
        <v>25-26</v>
      </c>
      <c r="D52" s="17" t="s">
        <v>239</v>
      </c>
      <c r="E52" t="s">
        <v>240</v>
      </c>
      <c r="F52" t="s">
        <v>241</v>
      </c>
      <c r="G52" t="s">
        <v>240</v>
      </c>
      <c r="H52" s="19" t="s">
        <v>140</v>
      </c>
      <c r="I52" s="239">
        <v>0</v>
      </c>
      <c r="J52" s="239">
        <v>0</v>
      </c>
      <c r="K52" s="239">
        <v>193800</v>
      </c>
      <c r="L52" s="239">
        <v>0</v>
      </c>
      <c r="M52" s="239">
        <v>0</v>
      </c>
      <c r="N52" s="239">
        <v>0</v>
      </c>
      <c r="O52" s="249">
        <f>SUM(Baseline[[#This Row],[CSS FSP]:[WET]])</f>
        <v>193800</v>
      </c>
      <c r="P52" s="239">
        <v>0</v>
      </c>
      <c r="Q52" s="239">
        <v>0</v>
      </c>
      <c r="R52" s="239">
        <v>67830</v>
      </c>
      <c r="S52" s="239">
        <v>125970</v>
      </c>
      <c r="T52" s="239">
        <v>0</v>
      </c>
      <c r="U52" s="239">
        <v>0</v>
      </c>
      <c r="V52" s="249">
        <f>SUM(Baseline[[#This Row],[FSP]:[Housing - Homeless]])</f>
        <v>193800</v>
      </c>
      <c r="W52" s="239">
        <f>Baseline[[#This Row],[MHSA Total]]-Baseline[[#This Row],[BHSA Total]]</f>
        <v>0</v>
      </c>
      <c r="X52" s="11"/>
    </row>
    <row r="53" spans="2:24">
      <c r="B53" s="78" t="s">
        <v>97</v>
      </c>
      <c r="C53" t="str">
        <f>Instructions!$C$6</f>
        <v>25-26</v>
      </c>
      <c r="D53" s="17" t="s">
        <v>242</v>
      </c>
      <c r="E53" t="s">
        <v>198</v>
      </c>
      <c r="F53" t="s">
        <v>191</v>
      </c>
      <c r="G53" t="s">
        <v>192</v>
      </c>
      <c r="H53" s="19" t="s">
        <v>140</v>
      </c>
      <c r="I53" s="239">
        <v>0</v>
      </c>
      <c r="J53" s="239">
        <v>0</v>
      </c>
      <c r="K53" s="239">
        <v>4000</v>
      </c>
      <c r="L53" s="239">
        <v>0</v>
      </c>
      <c r="M53" s="239">
        <v>0</v>
      </c>
      <c r="N53" s="239">
        <v>0</v>
      </c>
      <c r="O53" s="249">
        <f>SUM(Baseline[[#This Row],[CSS FSP]:[WET]])</f>
        <v>4000</v>
      </c>
      <c r="P53" s="239">
        <v>0</v>
      </c>
      <c r="Q53" s="239">
        <v>4000</v>
      </c>
      <c r="R53" s="239">
        <v>0</v>
      </c>
      <c r="S53" s="239">
        <v>0</v>
      </c>
      <c r="T53" s="239">
        <v>0</v>
      </c>
      <c r="U53" s="239">
        <v>0</v>
      </c>
      <c r="V53" s="249">
        <f>SUM(Baseline[[#This Row],[FSP]:[Housing - Homeless]])</f>
        <v>4000</v>
      </c>
      <c r="W53" s="239">
        <f>Baseline[[#This Row],[MHSA Total]]-Baseline[[#This Row],[BHSA Total]]</f>
        <v>0</v>
      </c>
      <c r="X53" s="11"/>
    </row>
    <row r="54" spans="2:24">
      <c r="B54" s="78" t="s">
        <v>182</v>
      </c>
      <c r="C54" t="str">
        <f>Instructions!$C$6</f>
        <v>25-26</v>
      </c>
      <c r="D54" s="17" t="s">
        <v>243</v>
      </c>
      <c r="E54" t="s">
        <v>240</v>
      </c>
      <c r="F54" t="s">
        <v>241</v>
      </c>
      <c r="G54" t="s">
        <v>240</v>
      </c>
      <c r="H54" s="19" t="s">
        <v>140</v>
      </c>
      <c r="I54" s="239">
        <v>0</v>
      </c>
      <c r="J54" s="239">
        <v>0</v>
      </c>
      <c r="K54" s="239">
        <v>377532</v>
      </c>
      <c r="L54" s="239">
        <v>0</v>
      </c>
      <c r="M54" s="239">
        <v>0</v>
      </c>
      <c r="N54" s="239">
        <v>0</v>
      </c>
      <c r="O54" s="249">
        <f>SUM(Baseline[[#This Row],[CSS FSP]:[WET]])</f>
        <v>377532</v>
      </c>
      <c r="P54" s="239">
        <v>0</v>
      </c>
      <c r="Q54" s="239">
        <v>0</v>
      </c>
      <c r="R54" s="239">
        <v>132136</v>
      </c>
      <c r="S54" s="239">
        <v>245395</v>
      </c>
      <c r="T54" s="239">
        <v>0</v>
      </c>
      <c r="U54" s="239">
        <v>0</v>
      </c>
      <c r="V54" s="249">
        <f>SUM(Baseline[[#This Row],[FSP]:[Housing - Homeless]])</f>
        <v>377531</v>
      </c>
      <c r="W54" s="239">
        <f>Baseline[[#This Row],[MHSA Total]]-Baseline[[#This Row],[BHSA Total]]</f>
        <v>1</v>
      </c>
      <c r="X54" s="11"/>
    </row>
    <row r="55" spans="2:24">
      <c r="B55" s="78" t="s">
        <v>182</v>
      </c>
      <c r="C55" t="str">
        <f>Instructions!$C$6</f>
        <v>25-26</v>
      </c>
      <c r="D55" s="17" t="s">
        <v>244</v>
      </c>
      <c r="E55" t="s">
        <v>240</v>
      </c>
      <c r="F55" t="s">
        <v>245</v>
      </c>
      <c r="G55" t="s">
        <v>246</v>
      </c>
      <c r="H55" s="19" t="s">
        <v>140</v>
      </c>
      <c r="I55" s="239">
        <v>0</v>
      </c>
      <c r="J55" s="239">
        <v>0</v>
      </c>
      <c r="K55" s="239">
        <v>356000</v>
      </c>
      <c r="L55" s="239">
        <v>0</v>
      </c>
      <c r="M55" s="239">
        <v>0</v>
      </c>
      <c r="N55" s="239">
        <v>0</v>
      </c>
      <c r="O55" s="249">
        <f>SUM(Baseline[[#This Row],[CSS FSP]:[WET]])</f>
        <v>356000</v>
      </c>
      <c r="P55" s="239">
        <v>0</v>
      </c>
      <c r="Q55" s="239">
        <v>0</v>
      </c>
      <c r="R55" s="239">
        <v>124600</v>
      </c>
      <c r="S55" s="239">
        <v>231400</v>
      </c>
      <c r="T55" s="239">
        <v>0</v>
      </c>
      <c r="U55" s="239">
        <v>0</v>
      </c>
      <c r="V55" s="249">
        <f>SUM(Baseline[[#This Row],[FSP]:[Housing - Homeless]])</f>
        <v>356000</v>
      </c>
      <c r="W55" s="239">
        <f>Baseline[[#This Row],[MHSA Total]]-Baseline[[#This Row],[BHSA Total]]</f>
        <v>0</v>
      </c>
      <c r="X55" s="11"/>
    </row>
    <row r="56" spans="2:24">
      <c r="B56" s="78" t="s">
        <v>182</v>
      </c>
      <c r="C56" t="str">
        <f>Instructions!$C$6</f>
        <v>25-26</v>
      </c>
      <c r="D56" s="17" t="s">
        <v>247</v>
      </c>
      <c r="E56" t="s">
        <v>198</v>
      </c>
      <c r="F56" t="s">
        <v>191</v>
      </c>
      <c r="G56" t="s">
        <v>192</v>
      </c>
      <c r="H56" s="19" t="s">
        <v>140</v>
      </c>
      <c r="I56" s="239">
        <v>0</v>
      </c>
      <c r="J56" s="239">
        <v>0</v>
      </c>
      <c r="K56" s="239">
        <v>0</v>
      </c>
      <c r="L56" s="239">
        <v>0</v>
      </c>
      <c r="M56" s="239">
        <v>0</v>
      </c>
      <c r="N56" s="239">
        <v>15600</v>
      </c>
      <c r="O56" s="249">
        <f>SUM(Baseline[[#This Row],[CSS FSP]:[WET]])</f>
        <v>15600</v>
      </c>
      <c r="P56" s="239">
        <v>0</v>
      </c>
      <c r="Q56" s="239">
        <v>15600</v>
      </c>
      <c r="R56" s="239">
        <v>0</v>
      </c>
      <c r="S56" s="239">
        <v>0</v>
      </c>
      <c r="T56" s="239">
        <v>0</v>
      </c>
      <c r="U56" s="239">
        <v>0</v>
      </c>
      <c r="V56" s="249">
        <f>SUM(Baseline[[#This Row],[FSP]:[Housing - Homeless]])</f>
        <v>15600</v>
      </c>
      <c r="W56" s="239">
        <f>Baseline[[#This Row],[MHSA Total]]-Baseline[[#This Row],[BHSA Total]]</f>
        <v>0</v>
      </c>
      <c r="X56" s="11"/>
    </row>
    <row r="57" spans="2:24">
      <c r="B57" s="78" t="s">
        <v>182</v>
      </c>
      <c r="C57" t="str">
        <f>Instructions!$C$6</f>
        <v>25-26</v>
      </c>
      <c r="D57" s="17" t="s">
        <v>248</v>
      </c>
      <c r="E57" t="s">
        <v>198</v>
      </c>
      <c r="F57" t="s">
        <v>191</v>
      </c>
      <c r="G57" t="s">
        <v>192</v>
      </c>
      <c r="H57" s="19" t="s">
        <v>140</v>
      </c>
      <c r="I57" s="239">
        <v>0</v>
      </c>
      <c r="J57" s="239">
        <v>0</v>
      </c>
      <c r="K57" s="239">
        <v>0</v>
      </c>
      <c r="L57" s="239">
        <v>0</v>
      </c>
      <c r="M57" s="239">
        <v>0</v>
      </c>
      <c r="N57" s="239">
        <v>18762</v>
      </c>
      <c r="O57" s="249">
        <f>SUM(Baseline[[#This Row],[CSS FSP]:[WET]])</f>
        <v>18762</v>
      </c>
      <c r="P57" s="239">
        <v>0</v>
      </c>
      <c r="Q57" s="239">
        <v>18762</v>
      </c>
      <c r="R57" s="239">
        <v>0</v>
      </c>
      <c r="S57" s="239">
        <v>0</v>
      </c>
      <c r="T57" s="239">
        <v>0</v>
      </c>
      <c r="U57" s="239">
        <v>0</v>
      </c>
      <c r="V57" s="249">
        <f>SUM(Baseline[[#This Row],[FSP]:[Housing - Homeless]])</f>
        <v>18762</v>
      </c>
      <c r="W57" s="239">
        <f>Baseline[[#This Row],[MHSA Total]]-Baseline[[#This Row],[BHSA Total]]</f>
        <v>0</v>
      </c>
      <c r="X57" s="11"/>
    </row>
    <row r="58" spans="2:24">
      <c r="B58" s="78" t="s">
        <v>182</v>
      </c>
      <c r="C58" t="str">
        <f>Instructions!$C$6</f>
        <v>25-26</v>
      </c>
      <c r="D58" s="17" t="s">
        <v>249</v>
      </c>
      <c r="E58" t="s">
        <v>198</v>
      </c>
      <c r="F58" t="s">
        <v>191</v>
      </c>
      <c r="G58" t="s">
        <v>192</v>
      </c>
      <c r="H58" s="19" t="s">
        <v>140</v>
      </c>
      <c r="I58" s="239">
        <v>0</v>
      </c>
      <c r="J58" s="239">
        <v>0</v>
      </c>
      <c r="K58" s="239">
        <v>0</v>
      </c>
      <c r="L58" s="239">
        <v>0</v>
      </c>
      <c r="M58" s="239">
        <v>0</v>
      </c>
      <c r="N58" s="239">
        <v>250000</v>
      </c>
      <c r="O58" s="249">
        <f>SUM(Baseline[[#This Row],[CSS FSP]:[WET]])</f>
        <v>250000</v>
      </c>
      <c r="P58" s="239">
        <v>0</v>
      </c>
      <c r="Q58" s="239">
        <v>250000</v>
      </c>
      <c r="R58" s="239">
        <v>0</v>
      </c>
      <c r="S58" s="239">
        <v>0</v>
      </c>
      <c r="T58" s="239">
        <v>0</v>
      </c>
      <c r="U58" s="239">
        <v>0</v>
      </c>
      <c r="V58" s="249">
        <f>SUM(Baseline[[#This Row],[FSP]:[Housing - Homeless]])</f>
        <v>250000</v>
      </c>
      <c r="W58" s="239">
        <f>Baseline[[#This Row],[MHSA Total]]-Baseline[[#This Row],[BHSA Total]]</f>
        <v>0</v>
      </c>
      <c r="X58" s="11"/>
    </row>
    <row r="59" spans="2:24">
      <c r="B59" s="78" t="s">
        <v>97</v>
      </c>
      <c r="C59" t="str">
        <f>Instructions!$C$6</f>
        <v>25-26</v>
      </c>
      <c r="D59" s="17" t="s">
        <v>250</v>
      </c>
      <c r="E59" t="s">
        <v>198</v>
      </c>
      <c r="F59" t="s">
        <v>191</v>
      </c>
      <c r="G59" t="s">
        <v>192</v>
      </c>
      <c r="H59" s="19" t="s">
        <v>140</v>
      </c>
      <c r="I59" s="239">
        <v>0</v>
      </c>
      <c r="J59" s="239">
        <v>0</v>
      </c>
      <c r="K59" s="239">
        <v>0</v>
      </c>
      <c r="L59" s="239">
        <v>0</v>
      </c>
      <c r="M59" s="239">
        <v>0</v>
      </c>
      <c r="N59" s="239">
        <v>18400</v>
      </c>
      <c r="O59" s="249">
        <f>SUM(Baseline[[#This Row],[CSS FSP]:[WET]])</f>
        <v>18400</v>
      </c>
      <c r="P59" s="239">
        <v>0</v>
      </c>
      <c r="Q59" s="239">
        <v>18400</v>
      </c>
      <c r="R59" s="239">
        <v>0</v>
      </c>
      <c r="S59" s="239">
        <v>0</v>
      </c>
      <c r="T59" s="239">
        <v>0</v>
      </c>
      <c r="U59" s="239">
        <v>0</v>
      </c>
      <c r="V59" s="249">
        <f>SUM(Baseline[[#This Row],[FSP]:[Housing - Homeless]])</f>
        <v>18400</v>
      </c>
      <c r="W59" s="239">
        <f>Baseline[[#This Row],[MHSA Total]]-Baseline[[#This Row],[BHSA Total]]</f>
        <v>0</v>
      </c>
      <c r="X59" s="11"/>
    </row>
    <row r="60" spans="2:24">
      <c r="B60" s="78" t="s">
        <v>182</v>
      </c>
      <c r="C60" t="str">
        <f>Instructions!$C$6</f>
        <v>25-26</v>
      </c>
      <c r="D60" s="17" t="s">
        <v>251</v>
      </c>
      <c r="E60" t="s">
        <v>252</v>
      </c>
      <c r="F60" t="s">
        <v>253</v>
      </c>
      <c r="G60" t="s">
        <v>201</v>
      </c>
      <c r="H60" s="19" t="s">
        <v>140</v>
      </c>
      <c r="I60" s="239">
        <v>381541.13500000001</v>
      </c>
      <c r="J60" s="239">
        <v>373985.86499999999</v>
      </c>
      <c r="K60" s="239">
        <v>0</v>
      </c>
      <c r="L60" s="239">
        <v>0</v>
      </c>
      <c r="M60" s="239">
        <v>0</v>
      </c>
      <c r="N60" s="239">
        <v>0</v>
      </c>
      <c r="O60" s="249">
        <f>SUM(Baseline[[#This Row],[CSS FSP]:[WET]])</f>
        <v>755527</v>
      </c>
      <c r="P60" s="239">
        <v>755527</v>
      </c>
      <c r="Q60" s="239">
        <v>0</v>
      </c>
      <c r="R60" s="239">
        <v>0</v>
      </c>
      <c r="S60" s="239">
        <v>0</v>
      </c>
      <c r="T60" s="239">
        <v>0</v>
      </c>
      <c r="U60" s="239">
        <v>0</v>
      </c>
      <c r="V60" s="249">
        <f>SUM(Baseline[[#This Row],[FSP]:[Housing - Homeless]])</f>
        <v>755527</v>
      </c>
      <c r="W60" s="239">
        <f>Baseline[[#This Row],[MHSA Total]]-Baseline[[#This Row],[BHSA Total]]</f>
        <v>0</v>
      </c>
      <c r="X60" s="11"/>
    </row>
    <row r="61" spans="2:24">
      <c r="B61" s="78" t="s">
        <v>182</v>
      </c>
      <c r="C61" t="str">
        <f>Instructions!$C$6</f>
        <v>25-26</v>
      </c>
      <c r="D61" s="17" t="s">
        <v>254</v>
      </c>
      <c r="E61" t="s">
        <v>155</v>
      </c>
      <c r="F61" t="s">
        <v>156</v>
      </c>
      <c r="G61" t="s">
        <v>157</v>
      </c>
      <c r="H61" s="19" t="s">
        <v>140</v>
      </c>
      <c r="I61" s="239">
        <v>2290869.88</v>
      </c>
      <c r="J61" s="239">
        <v>2245506.12</v>
      </c>
      <c r="K61" s="239">
        <v>0</v>
      </c>
      <c r="L61" s="239">
        <v>0</v>
      </c>
      <c r="M61" s="239">
        <v>0</v>
      </c>
      <c r="N61" s="239">
        <v>0</v>
      </c>
      <c r="O61" s="249">
        <f>SUM(Baseline[[#This Row],[CSS FSP]:[WET]])</f>
        <v>4536376</v>
      </c>
      <c r="P61" s="239">
        <v>0</v>
      </c>
      <c r="Q61" s="239">
        <v>0</v>
      </c>
      <c r="R61" s="239">
        <v>2721825</v>
      </c>
      <c r="S61" s="239">
        <v>907275</v>
      </c>
      <c r="T61" s="239">
        <v>0</v>
      </c>
      <c r="U61" s="239">
        <v>0</v>
      </c>
      <c r="V61" s="249">
        <f>SUM(Baseline[[#This Row],[FSP]:[Housing - Homeless]])</f>
        <v>3629100</v>
      </c>
      <c r="W61" s="239">
        <f>Baseline[[#This Row],[MHSA Total]]-Baseline[[#This Row],[BHSA Total]]</f>
        <v>907276</v>
      </c>
      <c r="X61" s="11"/>
    </row>
    <row r="62" spans="2:24">
      <c r="B62" s="78" t="s">
        <v>182</v>
      </c>
      <c r="C62" t="str">
        <f>Instructions!$C$6</f>
        <v>25-26</v>
      </c>
      <c r="D62" s="17" t="s">
        <v>255</v>
      </c>
      <c r="E62" t="s">
        <v>198</v>
      </c>
      <c r="F62" t="s">
        <v>191</v>
      </c>
      <c r="G62" t="s">
        <v>192</v>
      </c>
      <c r="H62" s="19" t="s">
        <v>140</v>
      </c>
      <c r="I62" s="239">
        <v>25250</v>
      </c>
      <c r="J62" s="239">
        <v>24750</v>
      </c>
      <c r="K62" s="239">
        <v>0</v>
      </c>
      <c r="L62" s="239">
        <v>0</v>
      </c>
      <c r="M62" s="239">
        <v>0</v>
      </c>
      <c r="N62" s="239">
        <v>0</v>
      </c>
      <c r="O62" s="249">
        <f>SUM(Baseline[[#This Row],[CSS FSP]:[WET]])</f>
        <v>50000</v>
      </c>
      <c r="P62" s="239">
        <v>0</v>
      </c>
      <c r="Q62" s="239">
        <v>50000</v>
      </c>
      <c r="R62" s="239">
        <v>0</v>
      </c>
      <c r="S62" s="239">
        <v>0</v>
      </c>
      <c r="T62" s="239">
        <v>0</v>
      </c>
      <c r="U62" s="239">
        <v>0</v>
      </c>
      <c r="V62" s="249">
        <f>SUM(Baseline[[#This Row],[FSP]:[Housing - Homeless]])</f>
        <v>50000</v>
      </c>
      <c r="W62" s="239">
        <f>Baseline[[#This Row],[MHSA Total]]-Baseline[[#This Row],[BHSA Total]]</f>
        <v>0</v>
      </c>
      <c r="X62" s="11"/>
    </row>
    <row r="63" spans="2:24">
      <c r="B63" s="78" t="s">
        <v>182</v>
      </c>
      <c r="C63" t="str">
        <f>Instructions!$C$6</f>
        <v>25-26</v>
      </c>
      <c r="D63" s="17" t="s">
        <v>256</v>
      </c>
      <c r="E63" t="s">
        <v>198</v>
      </c>
      <c r="F63" t="s">
        <v>191</v>
      </c>
      <c r="G63" t="s">
        <v>192</v>
      </c>
      <c r="H63" s="19" t="s">
        <v>140</v>
      </c>
      <c r="I63" s="239">
        <v>10100</v>
      </c>
      <c r="J63" s="239">
        <v>9900</v>
      </c>
      <c r="K63" s="239">
        <v>0</v>
      </c>
      <c r="L63" s="239">
        <v>0</v>
      </c>
      <c r="M63" s="239">
        <v>0</v>
      </c>
      <c r="N63" s="239">
        <v>0</v>
      </c>
      <c r="O63" s="249">
        <f>SUM(Baseline[[#This Row],[CSS FSP]:[WET]])</f>
        <v>20000</v>
      </c>
      <c r="P63" s="239">
        <v>0</v>
      </c>
      <c r="Q63" s="239">
        <v>20000</v>
      </c>
      <c r="R63" s="239">
        <v>0</v>
      </c>
      <c r="S63" s="239">
        <v>0</v>
      </c>
      <c r="T63" s="239">
        <v>0</v>
      </c>
      <c r="U63" s="239">
        <v>0</v>
      </c>
      <c r="V63" s="249">
        <f>SUM(Baseline[[#This Row],[FSP]:[Housing - Homeless]])</f>
        <v>20000</v>
      </c>
      <c r="W63" s="239">
        <f>Baseline[[#This Row],[MHSA Total]]-Baseline[[#This Row],[BHSA Total]]</f>
        <v>0</v>
      </c>
      <c r="X63" s="11"/>
    </row>
    <row r="64" spans="2:24">
      <c r="B64" s="78" t="s">
        <v>182</v>
      </c>
      <c r="C64" t="str">
        <f>Instructions!$C$6</f>
        <v>25-26</v>
      </c>
      <c r="D64" s="17" t="s">
        <v>257</v>
      </c>
      <c r="E64" t="s">
        <v>198</v>
      </c>
      <c r="F64" t="s">
        <v>191</v>
      </c>
      <c r="G64" t="s">
        <v>192</v>
      </c>
      <c r="H64" s="19" t="s">
        <v>140</v>
      </c>
      <c r="I64" s="239">
        <v>75750</v>
      </c>
      <c r="J64" s="239">
        <v>74250</v>
      </c>
      <c r="K64" s="239">
        <v>0</v>
      </c>
      <c r="L64" s="239">
        <v>0</v>
      </c>
      <c r="M64" s="239">
        <v>0</v>
      </c>
      <c r="N64" s="239">
        <v>0</v>
      </c>
      <c r="O64" s="249">
        <f>SUM(Baseline[[#This Row],[CSS FSP]:[WET]])</f>
        <v>150000</v>
      </c>
      <c r="P64" s="239">
        <v>0</v>
      </c>
      <c r="Q64" s="239">
        <v>150000</v>
      </c>
      <c r="R64" s="239">
        <v>0</v>
      </c>
      <c r="S64" s="239">
        <v>0</v>
      </c>
      <c r="T64" s="239">
        <v>0</v>
      </c>
      <c r="U64" s="239">
        <v>0</v>
      </c>
      <c r="V64" s="249">
        <f>SUM(Baseline[[#This Row],[FSP]:[Housing - Homeless]])</f>
        <v>150000</v>
      </c>
      <c r="W64" s="239">
        <f>Baseline[[#This Row],[MHSA Total]]-Baseline[[#This Row],[BHSA Total]]</f>
        <v>0</v>
      </c>
      <c r="X64" s="11"/>
    </row>
    <row r="65" spans="2:24">
      <c r="B65" s="78" t="s">
        <v>97</v>
      </c>
      <c r="C65" t="str">
        <f>Instructions!$C$6</f>
        <v>25-26</v>
      </c>
      <c r="D65" s="17" t="s">
        <v>258</v>
      </c>
      <c r="E65" t="s">
        <v>155</v>
      </c>
      <c r="F65" t="s">
        <v>156</v>
      </c>
      <c r="G65" t="s">
        <v>157</v>
      </c>
      <c r="H65" s="19" t="s">
        <v>140</v>
      </c>
      <c r="I65" s="239">
        <v>505</v>
      </c>
      <c r="J65" s="239">
        <v>495</v>
      </c>
      <c r="K65" s="239">
        <v>0</v>
      </c>
      <c r="L65" s="239">
        <v>0</v>
      </c>
      <c r="M65" s="239">
        <v>0</v>
      </c>
      <c r="N65" s="239">
        <v>0</v>
      </c>
      <c r="O65" s="249">
        <f>SUM(Baseline[[#This Row],[CSS FSP]:[WET]])</f>
        <v>1000</v>
      </c>
      <c r="P65" s="239">
        <v>0</v>
      </c>
      <c r="Q65" s="239">
        <v>0</v>
      </c>
      <c r="R65" s="239">
        <v>600</v>
      </c>
      <c r="S65" s="239">
        <v>200</v>
      </c>
      <c r="T65" s="239">
        <v>0</v>
      </c>
      <c r="U65" s="239">
        <v>0</v>
      </c>
      <c r="V65" s="249">
        <f>SUM(Baseline[[#This Row],[FSP]:[Housing - Homeless]])</f>
        <v>800</v>
      </c>
      <c r="W65" s="239">
        <f>Baseline[[#This Row],[MHSA Total]]-Baseline[[#This Row],[BHSA Total]]</f>
        <v>200</v>
      </c>
      <c r="X65" s="11"/>
    </row>
    <row r="66" spans="2:24">
      <c r="B66" s="78" t="s">
        <v>97</v>
      </c>
      <c r="C66" t="str">
        <f>Instructions!$C$6</f>
        <v>25-26</v>
      </c>
      <c r="D66" s="17" t="s">
        <v>259</v>
      </c>
      <c r="E66" t="s">
        <v>155</v>
      </c>
      <c r="F66" t="s">
        <v>156</v>
      </c>
      <c r="G66" t="s">
        <v>157</v>
      </c>
      <c r="H66" s="19" t="s">
        <v>140</v>
      </c>
      <c r="I66" s="239">
        <v>505</v>
      </c>
      <c r="J66" s="239">
        <v>495</v>
      </c>
      <c r="K66" s="239">
        <v>0</v>
      </c>
      <c r="L66" s="239">
        <v>0</v>
      </c>
      <c r="M66" s="239">
        <v>0</v>
      </c>
      <c r="N66" s="239">
        <v>0</v>
      </c>
      <c r="O66" s="249">
        <f>SUM(Baseline[[#This Row],[CSS FSP]:[WET]])</f>
        <v>1000</v>
      </c>
      <c r="P66" s="239">
        <v>0</v>
      </c>
      <c r="Q66" s="239">
        <v>0</v>
      </c>
      <c r="R66" s="239">
        <v>600</v>
      </c>
      <c r="S66" s="239">
        <v>200</v>
      </c>
      <c r="T66" s="239">
        <v>0</v>
      </c>
      <c r="U66" s="239">
        <v>0</v>
      </c>
      <c r="V66" s="249">
        <f>SUM(Baseline[[#This Row],[FSP]:[Housing - Homeless]])</f>
        <v>800</v>
      </c>
      <c r="W66" s="239">
        <f>Baseline[[#This Row],[MHSA Total]]-Baseline[[#This Row],[BHSA Total]]</f>
        <v>200</v>
      </c>
      <c r="X66" s="11"/>
    </row>
    <row r="67" spans="2:24">
      <c r="B67" s="78" t="s">
        <v>97</v>
      </c>
      <c r="C67" t="str">
        <f>Instructions!$C$6</f>
        <v>25-26</v>
      </c>
      <c r="D67" s="17" t="s">
        <v>260</v>
      </c>
      <c r="E67" t="s">
        <v>155</v>
      </c>
      <c r="F67" t="s">
        <v>156</v>
      </c>
      <c r="G67" t="s">
        <v>157</v>
      </c>
      <c r="H67" s="19" t="s">
        <v>140</v>
      </c>
      <c r="I67" s="239">
        <v>207312.6</v>
      </c>
      <c r="J67" s="239">
        <v>203207.4</v>
      </c>
      <c r="K67" s="239">
        <v>0</v>
      </c>
      <c r="L67" s="239">
        <v>0</v>
      </c>
      <c r="M67" s="239">
        <v>0</v>
      </c>
      <c r="N67" s="239">
        <v>0</v>
      </c>
      <c r="O67" s="249">
        <f>SUM(Baseline[[#This Row],[CSS FSP]:[WET]])</f>
        <v>410520</v>
      </c>
      <c r="P67" s="239">
        <v>0</v>
      </c>
      <c r="Q67" s="239">
        <v>0</v>
      </c>
      <c r="R67" s="239">
        <v>246312</v>
      </c>
      <c r="S67" s="239">
        <v>82104</v>
      </c>
      <c r="T67" s="239">
        <v>0</v>
      </c>
      <c r="U67" s="239">
        <v>0</v>
      </c>
      <c r="V67" s="249">
        <f>SUM(Baseline[[#This Row],[FSP]:[Housing - Homeless]])</f>
        <v>328416</v>
      </c>
      <c r="W67" s="239">
        <f>Baseline[[#This Row],[MHSA Total]]-Baseline[[#This Row],[BHSA Total]]</f>
        <v>82104</v>
      </c>
      <c r="X67" s="11"/>
    </row>
    <row r="68" spans="2:24">
      <c r="B68" s="78" t="s">
        <v>182</v>
      </c>
      <c r="C68" t="str">
        <f>Instructions!$C$6</f>
        <v>25-26</v>
      </c>
      <c r="D68" s="17" t="s">
        <v>261</v>
      </c>
      <c r="E68" t="s">
        <v>262</v>
      </c>
      <c r="F68" t="s">
        <v>263</v>
      </c>
      <c r="G68" t="s">
        <v>264</v>
      </c>
      <c r="H68" s="19" t="s">
        <v>140</v>
      </c>
      <c r="I68" s="239">
        <v>0</v>
      </c>
      <c r="J68" s="239">
        <v>0</v>
      </c>
      <c r="K68" s="239">
        <v>0</v>
      </c>
      <c r="L68" s="239">
        <v>627905</v>
      </c>
      <c r="M68" s="239">
        <v>0</v>
      </c>
      <c r="N68" s="239">
        <v>0</v>
      </c>
      <c r="O68" s="249">
        <f>SUM(Baseline[[#This Row],[CSS FSP]:[WET]])</f>
        <v>627905</v>
      </c>
      <c r="P68" s="239">
        <v>61534</v>
      </c>
      <c r="Q68" s="239">
        <v>109004</v>
      </c>
      <c r="R68" s="239">
        <v>0</v>
      </c>
      <c r="S68" s="239">
        <v>0</v>
      </c>
      <c r="T68" s="239">
        <v>2637</v>
      </c>
      <c r="U68" s="239">
        <v>2637</v>
      </c>
      <c r="V68" s="249">
        <f>SUM(Baseline[[#This Row],[FSP]:[Housing - Homeless]])</f>
        <v>175812</v>
      </c>
      <c r="W68" s="239">
        <f>Baseline[[#This Row],[MHSA Total]]-Baseline[[#This Row],[BHSA Total]]</f>
        <v>452093</v>
      </c>
      <c r="X68" s="11"/>
    </row>
    <row r="69" spans="2:24">
      <c r="B69" s="78" t="s">
        <v>97</v>
      </c>
      <c r="C69" t="str">
        <f>Instructions!$C$6</f>
        <v>25-26</v>
      </c>
      <c r="D69" s="17" t="s">
        <v>265</v>
      </c>
      <c r="E69" t="s">
        <v>186</v>
      </c>
      <c r="F69" t="s">
        <v>266</v>
      </c>
      <c r="G69" t="s">
        <v>186</v>
      </c>
      <c r="H69" s="19" t="s">
        <v>140</v>
      </c>
      <c r="I69" s="239">
        <v>277750</v>
      </c>
      <c r="J69" s="239">
        <v>272250</v>
      </c>
      <c r="K69" s="239">
        <v>0</v>
      </c>
      <c r="L69" s="239">
        <v>0</v>
      </c>
      <c r="M69" s="239">
        <v>0</v>
      </c>
      <c r="N69" s="239">
        <v>0</v>
      </c>
      <c r="O69" s="249">
        <f>SUM(Baseline[[#This Row],[CSS FSP]:[WET]])</f>
        <v>550000</v>
      </c>
      <c r="P69" s="239">
        <v>192500</v>
      </c>
      <c r="Q69" s="239">
        <v>341000</v>
      </c>
      <c r="R69" s="239">
        <v>0</v>
      </c>
      <c r="S69" s="239">
        <v>0</v>
      </c>
      <c r="T69" s="239">
        <v>8250</v>
      </c>
      <c r="U69" s="239">
        <v>8250</v>
      </c>
      <c r="V69" s="249">
        <f>SUM(Baseline[[#This Row],[FSP]:[Housing - Homeless]])</f>
        <v>550000</v>
      </c>
      <c r="W69" s="239">
        <f>Baseline[[#This Row],[MHSA Total]]-Baseline[[#This Row],[BHSA Total]]</f>
        <v>0</v>
      </c>
      <c r="X69" s="11"/>
    </row>
    <row r="70" spans="2:24" ht="30">
      <c r="B70" s="78" t="s">
        <v>97</v>
      </c>
      <c r="C70" t="str">
        <f>Instructions!$C$6</f>
        <v>25-26</v>
      </c>
      <c r="D70" s="17" t="s">
        <v>267</v>
      </c>
      <c r="E70" t="s">
        <v>84</v>
      </c>
      <c r="F70" t="s">
        <v>268</v>
      </c>
      <c r="G70" t="s">
        <v>269</v>
      </c>
      <c r="H70" s="19" t="s">
        <v>140</v>
      </c>
      <c r="I70" s="239">
        <v>283002</v>
      </c>
      <c r="J70" s="239">
        <v>277398</v>
      </c>
      <c r="K70" s="239">
        <v>0</v>
      </c>
      <c r="L70" s="239">
        <v>0</v>
      </c>
      <c r="M70" s="239">
        <v>0</v>
      </c>
      <c r="N70" s="239">
        <v>0</v>
      </c>
      <c r="O70" s="249">
        <f>SUM(Baseline[[#This Row],[CSS FSP]:[WET]])</f>
        <v>560400</v>
      </c>
      <c r="P70" s="239">
        <v>0</v>
      </c>
      <c r="Q70" s="239">
        <v>0</v>
      </c>
      <c r="R70" s="239">
        <v>0</v>
      </c>
      <c r="S70" s="239">
        <v>0</v>
      </c>
      <c r="T70" s="239">
        <v>280200</v>
      </c>
      <c r="U70" s="239">
        <v>280200</v>
      </c>
      <c r="V70" s="249">
        <f>SUM(Baseline[[#This Row],[FSP]:[Housing - Homeless]])</f>
        <v>560400</v>
      </c>
      <c r="W70" s="239">
        <f>Baseline[[#This Row],[MHSA Total]]-Baseline[[#This Row],[BHSA Total]]</f>
        <v>0</v>
      </c>
      <c r="X70" s="11"/>
    </row>
    <row r="71" spans="2:24">
      <c r="B71" s="78" t="s">
        <v>97</v>
      </c>
      <c r="C71" t="str">
        <f>Instructions!$C$6</f>
        <v>25-26</v>
      </c>
      <c r="D71" s="17" t="s">
        <v>270</v>
      </c>
      <c r="E71" t="s">
        <v>84</v>
      </c>
      <c r="F71" t="s">
        <v>268</v>
      </c>
      <c r="G71" t="s">
        <v>269</v>
      </c>
      <c r="H71" s="19" t="s">
        <v>140</v>
      </c>
      <c r="I71" s="239">
        <v>454500</v>
      </c>
      <c r="J71" s="239">
        <v>445500</v>
      </c>
      <c r="K71" s="239">
        <v>0</v>
      </c>
      <c r="L71" s="239">
        <v>0</v>
      </c>
      <c r="M71" s="239">
        <v>0</v>
      </c>
      <c r="N71" s="239">
        <v>0</v>
      </c>
      <c r="O71" s="249">
        <f>SUM(Baseline[[#This Row],[CSS FSP]:[WET]])</f>
        <v>900000</v>
      </c>
      <c r="P71" s="239">
        <v>0</v>
      </c>
      <c r="Q71" s="239">
        <v>0</v>
      </c>
      <c r="R71" s="239">
        <v>0</v>
      </c>
      <c r="S71" s="239">
        <v>0</v>
      </c>
      <c r="T71" s="239">
        <v>450000</v>
      </c>
      <c r="U71" s="239">
        <v>450000</v>
      </c>
      <c r="V71" s="249">
        <f>SUM(Baseline[[#This Row],[FSP]:[Housing - Homeless]])</f>
        <v>900000</v>
      </c>
      <c r="W71" s="239">
        <f>Baseline[[#This Row],[MHSA Total]]-Baseline[[#This Row],[BHSA Total]]</f>
        <v>0</v>
      </c>
      <c r="X71" s="11"/>
    </row>
    <row r="72" spans="2:24">
      <c r="B72" s="78" t="s">
        <v>182</v>
      </c>
      <c r="C72" t="str">
        <f>Instructions!$C$6</f>
        <v>25-26</v>
      </c>
      <c r="D72" s="17" t="s">
        <v>257</v>
      </c>
      <c r="E72" t="s">
        <v>198</v>
      </c>
      <c r="F72" t="s">
        <v>191</v>
      </c>
      <c r="G72" t="s">
        <v>192</v>
      </c>
      <c r="H72" s="19" t="s">
        <v>140</v>
      </c>
      <c r="I72" s="239">
        <v>326352.21000000002</v>
      </c>
      <c r="J72" s="239">
        <v>319889.78999999998</v>
      </c>
      <c r="K72" s="239">
        <v>0</v>
      </c>
      <c r="L72" s="239">
        <v>0</v>
      </c>
      <c r="M72" s="239">
        <v>0</v>
      </c>
      <c r="N72" s="239">
        <v>0</v>
      </c>
      <c r="O72" s="249">
        <f>SUM(Baseline[[#This Row],[CSS FSP]:[WET]])</f>
        <v>646242</v>
      </c>
      <c r="P72" s="239">
        <v>0</v>
      </c>
      <c r="Q72" s="239">
        <v>0</v>
      </c>
      <c r="R72" s="239">
        <v>0</v>
      </c>
      <c r="S72" s="239">
        <v>0</v>
      </c>
      <c r="T72" s="239">
        <v>323121</v>
      </c>
      <c r="U72" s="239">
        <v>323121</v>
      </c>
      <c r="V72" s="249">
        <f>SUM(Baseline[[#This Row],[FSP]:[Housing - Homeless]])</f>
        <v>646242</v>
      </c>
      <c r="W72" s="239">
        <f>Baseline[[#This Row],[MHSA Total]]-Baseline[[#This Row],[BHSA Total]]</f>
        <v>0</v>
      </c>
      <c r="X72" s="11"/>
    </row>
    <row r="73" spans="2:24">
      <c r="B73" s="78" t="s">
        <v>182</v>
      </c>
      <c r="C73" t="str">
        <f>Instructions!$C$6</f>
        <v>25-26</v>
      </c>
      <c r="D73" s="17" t="s">
        <v>257</v>
      </c>
      <c r="E73" t="s">
        <v>198</v>
      </c>
      <c r="F73" t="s">
        <v>191</v>
      </c>
      <c r="G73" t="s">
        <v>192</v>
      </c>
      <c r="H73" s="19" t="s">
        <v>140</v>
      </c>
      <c r="I73" s="239">
        <v>11362.5</v>
      </c>
      <c r="J73" s="239">
        <v>11137.5</v>
      </c>
      <c r="K73" s="239">
        <v>0</v>
      </c>
      <c r="L73" s="239">
        <v>0</v>
      </c>
      <c r="M73" s="239">
        <v>0</v>
      </c>
      <c r="N73" s="239">
        <v>0</v>
      </c>
      <c r="O73" s="249">
        <f>SUM(Baseline[[#This Row],[CSS FSP]:[WET]])</f>
        <v>22500</v>
      </c>
      <c r="P73" s="239">
        <v>0</v>
      </c>
      <c r="Q73" s="239">
        <v>0</v>
      </c>
      <c r="R73" s="239">
        <v>0</v>
      </c>
      <c r="S73" s="239">
        <v>0</v>
      </c>
      <c r="T73" s="239">
        <v>11250</v>
      </c>
      <c r="U73" s="239">
        <v>11250</v>
      </c>
      <c r="V73" s="249">
        <f>SUM(Baseline[[#This Row],[FSP]:[Housing - Homeless]])</f>
        <v>22500</v>
      </c>
      <c r="W73" s="239">
        <f>Baseline[[#This Row],[MHSA Total]]-Baseline[[#This Row],[BHSA Total]]</f>
        <v>0</v>
      </c>
      <c r="X73" s="11"/>
    </row>
    <row r="74" spans="2:24">
      <c r="B74" s="78" t="s">
        <v>97</v>
      </c>
      <c r="C74" t="str">
        <f>Instructions!$C$6</f>
        <v>25-26</v>
      </c>
      <c r="D74" s="17" t="s">
        <v>195</v>
      </c>
      <c r="E74" t="s">
        <v>184</v>
      </c>
      <c r="F74" t="s">
        <v>196</v>
      </c>
      <c r="G74" t="s">
        <v>186</v>
      </c>
      <c r="H74" s="19" t="s">
        <v>140</v>
      </c>
      <c r="I74" s="239">
        <v>1060.5</v>
      </c>
      <c r="J74" s="239">
        <v>1039.5</v>
      </c>
      <c r="K74" s="239">
        <v>0</v>
      </c>
      <c r="L74" s="239">
        <v>0</v>
      </c>
      <c r="M74" s="239">
        <v>0</v>
      </c>
      <c r="N74" s="239">
        <v>0</v>
      </c>
      <c r="O74" s="249">
        <f>SUM(Baseline[[#This Row],[CSS FSP]:[WET]])</f>
        <v>2100</v>
      </c>
      <c r="P74" s="239">
        <v>0</v>
      </c>
      <c r="Q74" s="239">
        <v>0</v>
      </c>
      <c r="R74" s="239">
        <v>0</v>
      </c>
      <c r="S74" s="239">
        <v>0</v>
      </c>
      <c r="T74" s="239">
        <v>1050</v>
      </c>
      <c r="U74" s="239">
        <v>1050</v>
      </c>
      <c r="V74" s="249">
        <f>SUM(Baseline[[#This Row],[FSP]:[Housing - Homeless]])</f>
        <v>2100</v>
      </c>
      <c r="W74" s="239">
        <f>Baseline[[#This Row],[MHSA Total]]-Baseline[[#This Row],[BHSA Total]]</f>
        <v>0</v>
      </c>
      <c r="X74" s="11"/>
    </row>
    <row r="75" spans="2:24">
      <c r="B75" s="78" t="s">
        <v>97</v>
      </c>
      <c r="C75" t="str">
        <f>Instructions!$C$6</f>
        <v>25-26</v>
      </c>
      <c r="D75" s="17" t="s">
        <v>271</v>
      </c>
      <c r="E75" t="s">
        <v>84</v>
      </c>
      <c r="F75" t="s">
        <v>268</v>
      </c>
      <c r="G75" t="s">
        <v>269</v>
      </c>
      <c r="H75" s="19" t="s">
        <v>140</v>
      </c>
      <c r="I75" s="239">
        <v>555946.78071428579</v>
      </c>
      <c r="J75" s="239">
        <v>544937.93357142853</v>
      </c>
      <c r="K75" s="239">
        <v>0</v>
      </c>
      <c r="L75" s="239">
        <v>0</v>
      </c>
      <c r="M75" s="239">
        <v>0</v>
      </c>
      <c r="N75" s="239">
        <v>0</v>
      </c>
      <c r="O75" s="249">
        <f>SUM(Baseline[[#This Row],[CSS FSP]:[WET]])</f>
        <v>1100884.7142857143</v>
      </c>
      <c r="P75" s="239">
        <v>0</v>
      </c>
      <c r="Q75" s="239">
        <v>0</v>
      </c>
      <c r="R75" s="239">
        <v>0</v>
      </c>
      <c r="S75" s="239">
        <v>0</v>
      </c>
      <c r="T75" s="239">
        <v>550442</v>
      </c>
      <c r="U75" s="239">
        <v>550442</v>
      </c>
      <c r="V75" s="249">
        <f>SUM(Baseline[[#This Row],[FSP]:[Housing - Homeless]])</f>
        <v>1100884</v>
      </c>
      <c r="W75" s="239">
        <f>Baseline[[#This Row],[MHSA Total]]-Baseline[[#This Row],[BHSA Total]]</f>
        <v>0.71428571431897581</v>
      </c>
      <c r="X75" s="11"/>
    </row>
    <row r="76" spans="2:24">
      <c r="B76" s="78" t="s">
        <v>182</v>
      </c>
      <c r="C76" t="str">
        <f>Instructions!$C$6</f>
        <v>25-26</v>
      </c>
      <c r="D76" s="17" t="s">
        <v>272</v>
      </c>
      <c r="E76" t="s">
        <v>84</v>
      </c>
      <c r="F76" t="s">
        <v>268</v>
      </c>
      <c r="G76" t="s">
        <v>269</v>
      </c>
      <c r="H76" s="19" t="s">
        <v>140</v>
      </c>
      <c r="I76" s="239">
        <v>381552.75</v>
      </c>
      <c r="J76" s="239">
        <v>373997.25</v>
      </c>
      <c r="K76" s="239">
        <v>0</v>
      </c>
      <c r="L76" s="239">
        <v>0</v>
      </c>
      <c r="M76" s="239">
        <v>0</v>
      </c>
      <c r="N76" s="239">
        <v>0</v>
      </c>
      <c r="O76" s="249">
        <f>SUM(Baseline[[#This Row],[CSS FSP]:[WET]])</f>
        <v>755550</v>
      </c>
      <c r="P76" s="239">
        <v>0</v>
      </c>
      <c r="Q76" s="239">
        <v>0</v>
      </c>
      <c r="R76" s="239">
        <v>0</v>
      </c>
      <c r="S76" s="239">
        <v>0</v>
      </c>
      <c r="T76" s="239">
        <v>377775</v>
      </c>
      <c r="U76" s="239">
        <v>377775</v>
      </c>
      <c r="V76" s="249">
        <f>SUM(Baseline[[#This Row],[FSP]:[Housing - Homeless]])</f>
        <v>755550</v>
      </c>
      <c r="W76" s="239">
        <f>Baseline[[#This Row],[MHSA Total]]-Baseline[[#This Row],[BHSA Total]]</f>
        <v>0</v>
      </c>
      <c r="X76" s="11"/>
    </row>
    <row r="77" spans="2:24">
      <c r="B77" s="78" t="s">
        <v>182</v>
      </c>
      <c r="C77" t="str">
        <f>Instructions!$C$6</f>
        <v>25-26</v>
      </c>
      <c r="D77" s="17" t="s">
        <v>273</v>
      </c>
      <c r="E77" t="s">
        <v>84</v>
      </c>
      <c r="F77" t="s">
        <v>268</v>
      </c>
      <c r="G77" t="s">
        <v>269</v>
      </c>
      <c r="H77" s="19" t="s">
        <v>140</v>
      </c>
      <c r="I77" s="239">
        <v>1212000</v>
      </c>
      <c r="J77" s="239">
        <v>1188000</v>
      </c>
      <c r="K77" s="239">
        <v>0</v>
      </c>
      <c r="L77" s="239">
        <v>0</v>
      </c>
      <c r="M77" s="239">
        <v>0</v>
      </c>
      <c r="N77" s="239">
        <v>0</v>
      </c>
      <c r="O77" s="249">
        <f>SUM(Baseline[[#This Row],[CSS FSP]:[WET]])</f>
        <v>2400000</v>
      </c>
      <c r="P77" s="239">
        <v>0</v>
      </c>
      <c r="Q77" s="239">
        <v>0</v>
      </c>
      <c r="R77" s="239">
        <v>0</v>
      </c>
      <c r="S77" s="239">
        <v>0</v>
      </c>
      <c r="T77" s="239">
        <v>1200000</v>
      </c>
      <c r="U77" s="239">
        <v>1200000</v>
      </c>
      <c r="V77" s="249">
        <f>SUM(Baseline[[#This Row],[FSP]:[Housing - Homeless]])</f>
        <v>2400000</v>
      </c>
      <c r="W77" s="239">
        <f>Baseline[[#This Row],[MHSA Total]]-Baseline[[#This Row],[BHSA Total]]</f>
        <v>0</v>
      </c>
      <c r="X77" s="11"/>
    </row>
    <row r="78" spans="2:24">
      <c r="B78" s="78" t="s">
        <v>182</v>
      </c>
      <c r="C78" t="str">
        <f>Instructions!$C$6</f>
        <v>25-26</v>
      </c>
      <c r="D78" s="17" t="s">
        <v>236</v>
      </c>
      <c r="E78" t="s">
        <v>228</v>
      </c>
      <c r="F78" t="s">
        <v>229</v>
      </c>
      <c r="G78" t="s">
        <v>230</v>
      </c>
      <c r="H78" s="19" t="s">
        <v>140</v>
      </c>
      <c r="I78" s="239">
        <v>0</v>
      </c>
      <c r="J78" s="239">
        <v>0</v>
      </c>
      <c r="K78" s="239">
        <v>64900</v>
      </c>
      <c r="L78" s="239">
        <v>0</v>
      </c>
      <c r="M78" s="239">
        <v>0</v>
      </c>
      <c r="N78" s="239">
        <v>0</v>
      </c>
      <c r="O78" s="249">
        <f>SUM(Baseline[[#This Row],[CSS FSP]:[WET]])</f>
        <v>64900</v>
      </c>
      <c r="P78" s="239">
        <v>0</v>
      </c>
      <c r="Q78" s="239">
        <v>0</v>
      </c>
      <c r="R78" s="239">
        <v>48675</v>
      </c>
      <c r="S78" s="239">
        <v>16225</v>
      </c>
      <c r="T78" s="239">
        <v>0</v>
      </c>
      <c r="U78" s="239">
        <v>0</v>
      </c>
      <c r="V78" s="249">
        <f>SUM(Baseline[[#This Row],[FSP]:[Housing - Homeless]])</f>
        <v>64900</v>
      </c>
      <c r="W78" s="239">
        <f>Baseline[[#This Row],[MHSA Total]]-Baseline[[#This Row],[BHSA Total]]</f>
        <v>0</v>
      </c>
      <c r="X78" s="11"/>
    </row>
    <row r="79" spans="2:24">
      <c r="B79" s="78" t="s">
        <v>182</v>
      </c>
      <c r="C79" t="str">
        <f>Instructions!$C$6</f>
        <v>25-26</v>
      </c>
      <c r="D79" s="17" t="s">
        <v>274</v>
      </c>
      <c r="E79" t="s">
        <v>275</v>
      </c>
      <c r="F79" t="s">
        <v>276</v>
      </c>
      <c r="G79" t="s">
        <v>277</v>
      </c>
      <c r="H79" s="19" t="s">
        <v>140</v>
      </c>
      <c r="I79" s="239">
        <v>0</v>
      </c>
      <c r="J79" s="239">
        <v>0</v>
      </c>
      <c r="K79" s="239">
        <v>30000</v>
      </c>
      <c r="L79" s="239">
        <v>0</v>
      </c>
      <c r="M79" s="239">
        <v>0</v>
      </c>
      <c r="N79" s="239">
        <v>0</v>
      </c>
      <c r="O79" s="249">
        <f>SUM(Baseline[[#This Row],[CSS FSP]:[WET]])</f>
        <v>30000</v>
      </c>
      <c r="P79" s="239">
        <v>0</v>
      </c>
      <c r="Q79" s="239">
        <v>0</v>
      </c>
      <c r="R79" s="239">
        <v>0</v>
      </c>
      <c r="S79" s="239">
        <v>0</v>
      </c>
      <c r="T79" s="239">
        <v>0</v>
      </c>
      <c r="U79" s="239">
        <v>0</v>
      </c>
      <c r="V79" s="249">
        <f>SUM(Baseline[[#This Row],[FSP]:[Housing - Homeless]])</f>
        <v>0</v>
      </c>
      <c r="W79" s="239">
        <f>Baseline[[#This Row],[MHSA Total]]-Baseline[[#This Row],[BHSA Total]]</f>
        <v>30000</v>
      </c>
      <c r="X79" s="11"/>
    </row>
    <row r="80" spans="2:24">
      <c r="B80" s="78" t="s">
        <v>182</v>
      </c>
      <c r="C80" t="str">
        <f>Instructions!$C$6</f>
        <v>25-26</v>
      </c>
      <c r="D80" s="17" t="s">
        <v>257</v>
      </c>
      <c r="E80" t="s">
        <v>198</v>
      </c>
      <c r="F80" t="s">
        <v>191</v>
      </c>
      <c r="G80" t="s">
        <v>192</v>
      </c>
      <c r="H80" s="19" t="s">
        <v>140</v>
      </c>
      <c r="I80" s="239">
        <v>0</v>
      </c>
      <c r="J80" s="239">
        <v>0</v>
      </c>
      <c r="K80" s="239">
        <v>70000</v>
      </c>
      <c r="L80" s="239">
        <v>0</v>
      </c>
      <c r="M80" s="239">
        <v>0</v>
      </c>
      <c r="N80" s="239">
        <v>0</v>
      </c>
      <c r="O80" s="249">
        <f>SUM(Baseline[[#This Row],[CSS FSP]:[WET]])</f>
        <v>70000</v>
      </c>
      <c r="P80" s="239">
        <v>0</v>
      </c>
      <c r="Q80" s="239">
        <v>0</v>
      </c>
      <c r="R80" s="239">
        <v>52500</v>
      </c>
      <c r="S80" s="239">
        <v>17500</v>
      </c>
      <c r="T80" s="239">
        <v>0</v>
      </c>
      <c r="U80" s="239">
        <v>0</v>
      </c>
      <c r="V80" s="249">
        <f>SUM(Baseline[[#This Row],[FSP]:[Housing - Homeless]])</f>
        <v>70000</v>
      </c>
      <c r="W80" s="239">
        <f>Baseline[[#This Row],[MHSA Total]]-Baseline[[#This Row],[BHSA Total]]</f>
        <v>0</v>
      </c>
      <c r="X80" s="11"/>
    </row>
    <row r="81" spans="2:24">
      <c r="B81" s="78" t="s">
        <v>182</v>
      </c>
      <c r="C81" t="str">
        <f>Instructions!$C$6</f>
        <v>25-26</v>
      </c>
      <c r="D81" s="17" t="s">
        <v>274</v>
      </c>
      <c r="E81" t="s">
        <v>275</v>
      </c>
      <c r="F81" t="s">
        <v>276</v>
      </c>
      <c r="G81" t="s">
        <v>277</v>
      </c>
      <c r="H81" s="19" t="s">
        <v>140</v>
      </c>
      <c r="I81" s="239">
        <v>0</v>
      </c>
      <c r="J81" s="239">
        <v>0</v>
      </c>
      <c r="K81" s="239">
        <v>29500</v>
      </c>
      <c r="L81" s="239">
        <v>0</v>
      </c>
      <c r="M81" s="239">
        <v>0</v>
      </c>
      <c r="N81" s="239">
        <v>0</v>
      </c>
      <c r="O81" s="249">
        <f>SUM(Baseline[[#This Row],[CSS FSP]:[WET]])</f>
        <v>29500</v>
      </c>
      <c r="P81" s="239">
        <v>0</v>
      </c>
      <c r="Q81" s="239">
        <v>0</v>
      </c>
      <c r="R81" s="239">
        <v>0</v>
      </c>
      <c r="S81" s="239">
        <v>0</v>
      </c>
      <c r="T81" s="239">
        <v>0</v>
      </c>
      <c r="U81" s="239">
        <v>0</v>
      </c>
      <c r="V81" s="249">
        <f>SUM(Baseline[[#This Row],[FSP]:[Housing - Homeless]])</f>
        <v>0</v>
      </c>
      <c r="W81" s="239">
        <f>Baseline[[#This Row],[MHSA Total]]-Baseline[[#This Row],[BHSA Total]]</f>
        <v>29500</v>
      </c>
      <c r="X81" s="11"/>
    </row>
    <row r="82" spans="2:24">
      <c r="B82" s="78" t="s">
        <v>182</v>
      </c>
      <c r="C82" t="str">
        <f>Instructions!$C$6</f>
        <v>25-26</v>
      </c>
      <c r="D82" s="17" t="s">
        <v>278</v>
      </c>
      <c r="E82" t="s">
        <v>279</v>
      </c>
      <c r="F82" t="s">
        <v>280</v>
      </c>
      <c r="G82" t="s">
        <v>279</v>
      </c>
      <c r="H82" s="19" t="s">
        <v>140</v>
      </c>
      <c r="I82" s="239">
        <v>0</v>
      </c>
      <c r="J82" s="239">
        <v>0</v>
      </c>
      <c r="K82" s="239">
        <v>6400</v>
      </c>
      <c r="L82" s="239">
        <v>0</v>
      </c>
      <c r="M82" s="239">
        <v>0</v>
      </c>
      <c r="N82" s="239">
        <v>0</v>
      </c>
      <c r="O82" s="249">
        <f>SUM(Baseline[[#This Row],[CSS FSP]:[WET]])</f>
        <v>6400</v>
      </c>
      <c r="P82" s="239">
        <v>0</v>
      </c>
      <c r="Q82" s="239">
        <v>0</v>
      </c>
      <c r="R82" s="239">
        <v>4800</v>
      </c>
      <c r="S82" s="239">
        <v>1600</v>
      </c>
      <c r="T82" s="239">
        <v>0</v>
      </c>
      <c r="U82" s="239">
        <v>0</v>
      </c>
      <c r="V82" s="249">
        <f>SUM(Baseline[[#This Row],[FSP]:[Housing - Homeless]])</f>
        <v>6400</v>
      </c>
      <c r="W82" s="239">
        <f>Baseline[[#This Row],[MHSA Total]]-Baseline[[#This Row],[BHSA Total]]</f>
        <v>0</v>
      </c>
      <c r="X82" s="11"/>
    </row>
    <row r="83" spans="2:24">
      <c r="B83" s="78" t="s">
        <v>182</v>
      </c>
      <c r="C83" t="str">
        <f>Instructions!$C$6</f>
        <v>25-26</v>
      </c>
      <c r="D83" s="17" t="s">
        <v>278</v>
      </c>
      <c r="E83" t="s">
        <v>279</v>
      </c>
      <c r="F83" t="s">
        <v>280</v>
      </c>
      <c r="G83" t="s">
        <v>279</v>
      </c>
      <c r="H83" s="19" t="s">
        <v>140</v>
      </c>
      <c r="I83" s="239">
        <v>0</v>
      </c>
      <c r="J83" s="239">
        <v>0</v>
      </c>
      <c r="K83" s="239">
        <v>4000</v>
      </c>
      <c r="L83" s="239">
        <v>0</v>
      </c>
      <c r="M83" s="239">
        <v>0</v>
      </c>
      <c r="N83" s="239">
        <v>0</v>
      </c>
      <c r="O83" s="249">
        <f>SUM(Baseline[[#This Row],[CSS FSP]:[WET]])</f>
        <v>4000</v>
      </c>
      <c r="P83" s="239">
        <v>0</v>
      </c>
      <c r="Q83" s="239">
        <v>0</v>
      </c>
      <c r="R83" s="239">
        <v>3000</v>
      </c>
      <c r="S83" s="239">
        <v>1000</v>
      </c>
      <c r="T83" s="239">
        <v>0</v>
      </c>
      <c r="U83" s="239">
        <v>0</v>
      </c>
      <c r="V83" s="249">
        <f>SUM(Baseline[[#This Row],[FSP]:[Housing - Homeless]])</f>
        <v>4000</v>
      </c>
      <c r="W83" s="239">
        <f>Baseline[[#This Row],[MHSA Total]]-Baseline[[#This Row],[BHSA Total]]</f>
        <v>0</v>
      </c>
      <c r="X83" s="11"/>
    </row>
    <row r="84" spans="2:24">
      <c r="B84" s="78" t="s">
        <v>182</v>
      </c>
      <c r="C84" t="str">
        <f>Instructions!$C$6</f>
        <v>25-26</v>
      </c>
      <c r="D84" s="17" t="s">
        <v>278</v>
      </c>
      <c r="E84" t="s">
        <v>279</v>
      </c>
      <c r="F84" t="s">
        <v>280</v>
      </c>
      <c r="G84" t="s">
        <v>279</v>
      </c>
      <c r="H84" s="19" t="s">
        <v>140</v>
      </c>
      <c r="I84" s="239">
        <v>0</v>
      </c>
      <c r="J84" s="239">
        <v>0</v>
      </c>
      <c r="K84" s="239">
        <v>12000</v>
      </c>
      <c r="L84" s="239">
        <v>0</v>
      </c>
      <c r="M84" s="239">
        <v>0</v>
      </c>
      <c r="N84" s="239">
        <v>0</v>
      </c>
      <c r="O84" s="249">
        <f>SUM(Baseline[[#This Row],[CSS FSP]:[WET]])</f>
        <v>12000</v>
      </c>
      <c r="P84" s="239">
        <v>0</v>
      </c>
      <c r="Q84" s="239">
        <v>0</v>
      </c>
      <c r="R84" s="239">
        <v>9000</v>
      </c>
      <c r="S84" s="239">
        <v>3000</v>
      </c>
      <c r="T84" s="239">
        <v>0</v>
      </c>
      <c r="U84" s="239">
        <v>0</v>
      </c>
      <c r="V84" s="249">
        <f>SUM(Baseline[[#This Row],[FSP]:[Housing - Homeless]])</f>
        <v>12000</v>
      </c>
      <c r="W84" s="239">
        <f>Baseline[[#This Row],[MHSA Total]]-Baseline[[#This Row],[BHSA Total]]</f>
        <v>0</v>
      </c>
      <c r="X84" s="11"/>
    </row>
    <row r="85" spans="2:24">
      <c r="B85" s="78" t="s">
        <v>182</v>
      </c>
      <c r="C85" t="str">
        <f>Instructions!$C$6</f>
        <v>25-26</v>
      </c>
      <c r="D85" s="17" t="s">
        <v>278</v>
      </c>
      <c r="E85" t="s">
        <v>279</v>
      </c>
      <c r="F85" t="s">
        <v>280</v>
      </c>
      <c r="G85" t="s">
        <v>279</v>
      </c>
      <c r="H85" s="19" t="s">
        <v>140</v>
      </c>
      <c r="I85" s="239">
        <v>0</v>
      </c>
      <c r="J85" s="239">
        <v>0</v>
      </c>
      <c r="K85" s="239">
        <v>4000</v>
      </c>
      <c r="L85" s="239">
        <v>0</v>
      </c>
      <c r="M85" s="239">
        <v>0</v>
      </c>
      <c r="N85" s="239">
        <v>0</v>
      </c>
      <c r="O85" s="249">
        <f>SUM(Baseline[[#This Row],[CSS FSP]:[WET]])</f>
        <v>4000</v>
      </c>
      <c r="P85" s="239">
        <v>0</v>
      </c>
      <c r="Q85" s="239">
        <v>0</v>
      </c>
      <c r="R85" s="239">
        <v>3000</v>
      </c>
      <c r="S85" s="239">
        <v>1000</v>
      </c>
      <c r="T85" s="239">
        <v>0</v>
      </c>
      <c r="U85" s="239">
        <v>0</v>
      </c>
      <c r="V85" s="249">
        <f>SUM(Baseline[[#This Row],[FSP]:[Housing - Homeless]])</f>
        <v>4000</v>
      </c>
      <c r="W85" s="239">
        <f>Baseline[[#This Row],[MHSA Total]]-Baseline[[#This Row],[BHSA Total]]</f>
        <v>0</v>
      </c>
      <c r="X85" s="11"/>
    </row>
    <row r="86" spans="2:24">
      <c r="B86" s="78" t="s">
        <v>182</v>
      </c>
      <c r="C86" t="str">
        <f>Instructions!$C$6</f>
        <v>25-26</v>
      </c>
      <c r="D86" s="17" t="s">
        <v>278</v>
      </c>
      <c r="E86" t="s">
        <v>279</v>
      </c>
      <c r="F86" t="s">
        <v>280</v>
      </c>
      <c r="G86" t="s">
        <v>279</v>
      </c>
      <c r="H86" s="19" t="s">
        <v>140</v>
      </c>
      <c r="I86" s="239">
        <v>0</v>
      </c>
      <c r="J86" s="239">
        <v>0</v>
      </c>
      <c r="K86" s="239">
        <v>4000</v>
      </c>
      <c r="L86" s="239">
        <v>0</v>
      </c>
      <c r="M86" s="239">
        <v>0</v>
      </c>
      <c r="N86" s="239">
        <v>0</v>
      </c>
      <c r="O86" s="249">
        <f>SUM(Baseline[[#This Row],[CSS FSP]:[WET]])</f>
        <v>4000</v>
      </c>
      <c r="P86" s="239">
        <v>0</v>
      </c>
      <c r="Q86" s="239">
        <v>0</v>
      </c>
      <c r="R86" s="239">
        <v>3000</v>
      </c>
      <c r="S86" s="239">
        <v>1000</v>
      </c>
      <c r="T86" s="239">
        <v>0</v>
      </c>
      <c r="U86" s="239">
        <v>0</v>
      </c>
      <c r="V86" s="249">
        <f>SUM(Baseline[[#This Row],[FSP]:[Housing - Homeless]])</f>
        <v>4000</v>
      </c>
      <c r="W86" s="239">
        <f>Baseline[[#This Row],[MHSA Total]]-Baseline[[#This Row],[BHSA Total]]</f>
        <v>0</v>
      </c>
      <c r="X86" s="11"/>
    </row>
    <row r="87" spans="2:24">
      <c r="B87" s="78" t="s">
        <v>182</v>
      </c>
      <c r="C87" t="str">
        <f>Instructions!$C$6</f>
        <v>25-26</v>
      </c>
      <c r="D87" s="17" t="s">
        <v>278</v>
      </c>
      <c r="E87" t="s">
        <v>279</v>
      </c>
      <c r="F87" t="s">
        <v>280</v>
      </c>
      <c r="G87" t="s">
        <v>279</v>
      </c>
      <c r="H87" s="19" t="s">
        <v>140</v>
      </c>
      <c r="I87" s="239">
        <v>0</v>
      </c>
      <c r="J87" s="239">
        <v>0</v>
      </c>
      <c r="K87" s="239">
        <v>4000</v>
      </c>
      <c r="L87" s="239">
        <v>0</v>
      </c>
      <c r="M87" s="239">
        <v>0</v>
      </c>
      <c r="N87" s="239">
        <v>0</v>
      </c>
      <c r="O87" s="249">
        <f>SUM(Baseline[[#This Row],[CSS FSP]:[WET]])</f>
        <v>4000</v>
      </c>
      <c r="P87" s="239">
        <v>0</v>
      </c>
      <c r="Q87" s="239">
        <v>0</v>
      </c>
      <c r="R87" s="239">
        <v>3000</v>
      </c>
      <c r="S87" s="239">
        <v>1000</v>
      </c>
      <c r="T87" s="239">
        <v>0</v>
      </c>
      <c r="U87" s="239">
        <v>0</v>
      </c>
      <c r="V87" s="249">
        <f>SUM(Baseline[[#This Row],[FSP]:[Housing - Homeless]])</f>
        <v>4000</v>
      </c>
      <c r="W87" s="239">
        <f>Baseline[[#This Row],[MHSA Total]]-Baseline[[#This Row],[BHSA Total]]</f>
        <v>0</v>
      </c>
      <c r="X87" s="11"/>
    </row>
    <row r="88" spans="2:24">
      <c r="B88" s="78" t="s">
        <v>182</v>
      </c>
      <c r="C88" t="str">
        <f>Instructions!$C$6</f>
        <v>25-26</v>
      </c>
      <c r="D88" s="17" t="s">
        <v>278</v>
      </c>
      <c r="E88" t="s">
        <v>279</v>
      </c>
      <c r="F88" t="s">
        <v>280</v>
      </c>
      <c r="G88" t="s">
        <v>279</v>
      </c>
      <c r="H88" s="19" t="s">
        <v>140</v>
      </c>
      <c r="I88" s="239">
        <v>0</v>
      </c>
      <c r="J88" s="239">
        <v>0</v>
      </c>
      <c r="K88" s="239">
        <v>6400</v>
      </c>
      <c r="L88" s="239">
        <v>0</v>
      </c>
      <c r="M88" s="239">
        <v>0</v>
      </c>
      <c r="N88" s="239">
        <v>0</v>
      </c>
      <c r="O88" s="249">
        <f>SUM(Baseline[[#This Row],[CSS FSP]:[WET]])</f>
        <v>6400</v>
      </c>
      <c r="P88" s="239">
        <v>0</v>
      </c>
      <c r="Q88" s="239">
        <v>0</v>
      </c>
      <c r="R88" s="239">
        <v>4800</v>
      </c>
      <c r="S88" s="239">
        <v>1600</v>
      </c>
      <c r="T88" s="239">
        <v>0</v>
      </c>
      <c r="U88" s="239">
        <v>0</v>
      </c>
      <c r="V88" s="249">
        <f>SUM(Baseline[[#This Row],[FSP]:[Housing - Homeless]])</f>
        <v>6400</v>
      </c>
      <c r="W88" s="239">
        <f>Baseline[[#This Row],[MHSA Total]]-Baseline[[#This Row],[BHSA Total]]</f>
        <v>0</v>
      </c>
      <c r="X88" s="11"/>
    </row>
    <row r="89" spans="2:24">
      <c r="B89" s="78" t="s">
        <v>97</v>
      </c>
      <c r="C89" t="str">
        <f>Instructions!$C$6</f>
        <v>25-26</v>
      </c>
      <c r="D89" s="17" t="s">
        <v>281</v>
      </c>
      <c r="E89" t="s">
        <v>84</v>
      </c>
      <c r="F89" t="s">
        <v>268</v>
      </c>
      <c r="G89" t="s">
        <v>269</v>
      </c>
      <c r="H89" s="19" t="s">
        <v>140</v>
      </c>
      <c r="I89" s="239">
        <v>137055.99</v>
      </c>
      <c r="J89" s="239">
        <v>134342.01</v>
      </c>
      <c r="K89" s="239">
        <v>0</v>
      </c>
      <c r="L89" s="239">
        <v>0</v>
      </c>
      <c r="M89" s="239">
        <v>0</v>
      </c>
      <c r="N89" s="239">
        <v>0</v>
      </c>
      <c r="O89" s="249">
        <f>SUM(Baseline[[#This Row],[CSS FSP]:[WET]])</f>
        <v>271398</v>
      </c>
      <c r="P89" s="239">
        <v>0</v>
      </c>
      <c r="Q89" s="239">
        <v>0</v>
      </c>
      <c r="R89" s="239">
        <v>0</v>
      </c>
      <c r="S89" s="239">
        <v>0</v>
      </c>
      <c r="T89" s="239">
        <v>135699</v>
      </c>
      <c r="U89" s="239">
        <v>135699</v>
      </c>
      <c r="V89" s="249">
        <f>SUM(Baseline[[#This Row],[FSP]:[Housing - Homeless]])</f>
        <v>271398</v>
      </c>
      <c r="W89" s="239">
        <f>Baseline[[#This Row],[MHSA Total]]-Baseline[[#This Row],[BHSA Total]]</f>
        <v>0</v>
      </c>
      <c r="X89" s="11"/>
    </row>
    <row r="90" spans="2:24">
      <c r="B90" s="78" t="s">
        <v>182</v>
      </c>
      <c r="C90" t="str">
        <f>Instructions!$C$6</f>
        <v>25-26</v>
      </c>
      <c r="D90" s="17" t="s">
        <v>257</v>
      </c>
      <c r="E90" t="s">
        <v>198</v>
      </c>
      <c r="F90" t="s">
        <v>191</v>
      </c>
      <c r="G90" t="s">
        <v>192</v>
      </c>
      <c r="H90" s="19" t="s">
        <v>140</v>
      </c>
      <c r="I90" s="239">
        <v>0</v>
      </c>
      <c r="J90" s="239">
        <v>0</v>
      </c>
      <c r="K90" s="239">
        <v>24500</v>
      </c>
      <c r="L90" s="239">
        <v>0</v>
      </c>
      <c r="M90" s="239">
        <v>0</v>
      </c>
      <c r="N90" s="239">
        <v>0</v>
      </c>
      <c r="O90" s="249">
        <f>SUM(Baseline[[#This Row],[CSS FSP]:[WET]])</f>
        <v>24500</v>
      </c>
      <c r="P90" s="239">
        <v>0</v>
      </c>
      <c r="Q90" s="239">
        <v>24500</v>
      </c>
      <c r="R90" s="239">
        <v>0</v>
      </c>
      <c r="S90" s="239">
        <v>0</v>
      </c>
      <c r="T90" s="239">
        <v>0</v>
      </c>
      <c r="U90" s="239">
        <v>0</v>
      </c>
      <c r="V90" s="249">
        <f>SUM(Baseline[[#This Row],[FSP]:[Housing - Homeless]])</f>
        <v>24500</v>
      </c>
      <c r="W90" s="239">
        <f>Baseline[[#This Row],[MHSA Total]]-Baseline[[#This Row],[BHSA Total]]</f>
        <v>0</v>
      </c>
      <c r="X90" s="11"/>
    </row>
    <row r="91" spans="2:24">
      <c r="B91" s="78" t="s">
        <v>97</v>
      </c>
      <c r="C91" t="str">
        <f>Instructions!$C$6</f>
        <v>25-26</v>
      </c>
      <c r="D91" s="17" t="s">
        <v>282</v>
      </c>
      <c r="E91" t="s">
        <v>198</v>
      </c>
      <c r="F91" t="s">
        <v>191</v>
      </c>
      <c r="G91" t="s">
        <v>192</v>
      </c>
      <c r="H91" s="19" t="s">
        <v>140</v>
      </c>
      <c r="I91" s="239">
        <v>0</v>
      </c>
      <c r="J91" s="239">
        <v>0</v>
      </c>
      <c r="K91" s="239">
        <v>5000</v>
      </c>
      <c r="L91" s="239">
        <v>0</v>
      </c>
      <c r="M91" s="239">
        <v>0</v>
      </c>
      <c r="N91" s="239">
        <v>0</v>
      </c>
      <c r="O91" s="249">
        <f>SUM(Baseline[[#This Row],[CSS FSP]:[WET]])</f>
        <v>5000</v>
      </c>
      <c r="P91" s="239">
        <v>1750</v>
      </c>
      <c r="Q91" s="239">
        <v>3250</v>
      </c>
      <c r="R91" s="239">
        <v>0</v>
      </c>
      <c r="S91" s="239">
        <v>0</v>
      </c>
      <c r="T91" s="239">
        <v>0</v>
      </c>
      <c r="U91" s="239">
        <v>0</v>
      </c>
      <c r="V91" s="249">
        <f>SUM(Baseline[[#This Row],[FSP]:[Housing - Homeless]])</f>
        <v>5000</v>
      </c>
      <c r="W91" s="239">
        <f>Baseline[[#This Row],[MHSA Total]]-Baseline[[#This Row],[BHSA Total]]</f>
        <v>0</v>
      </c>
      <c r="X91" s="11"/>
    </row>
    <row r="92" spans="2:24">
      <c r="B92" s="78" t="s">
        <v>182</v>
      </c>
      <c r="C92" t="str">
        <f>Instructions!$C$6</f>
        <v>25-26</v>
      </c>
      <c r="D92" s="17" t="s">
        <v>257</v>
      </c>
      <c r="E92" t="s">
        <v>198</v>
      </c>
      <c r="F92" t="s">
        <v>191</v>
      </c>
      <c r="G92" t="s">
        <v>192</v>
      </c>
      <c r="H92" s="19" t="s">
        <v>140</v>
      </c>
      <c r="I92" s="239">
        <v>0</v>
      </c>
      <c r="J92" s="239">
        <v>0</v>
      </c>
      <c r="K92" s="239">
        <v>65000</v>
      </c>
      <c r="L92" s="239">
        <v>0</v>
      </c>
      <c r="M92" s="239">
        <v>0</v>
      </c>
      <c r="N92" s="239">
        <v>0</v>
      </c>
      <c r="O92" s="249">
        <f>SUM(Baseline[[#This Row],[CSS FSP]:[WET]])</f>
        <v>65000</v>
      </c>
      <c r="P92" s="239">
        <v>0</v>
      </c>
      <c r="Q92" s="239">
        <v>65000</v>
      </c>
      <c r="R92" s="239">
        <v>0</v>
      </c>
      <c r="S92" s="239">
        <v>0</v>
      </c>
      <c r="T92" s="239">
        <v>0</v>
      </c>
      <c r="U92" s="239">
        <v>0</v>
      </c>
      <c r="V92" s="249">
        <f>SUM(Baseline[[#This Row],[FSP]:[Housing - Homeless]])</f>
        <v>65000</v>
      </c>
      <c r="W92" s="239">
        <f>Baseline[[#This Row],[MHSA Total]]-Baseline[[#This Row],[BHSA Total]]</f>
        <v>0</v>
      </c>
      <c r="X92" s="11"/>
    </row>
    <row r="93" spans="2:24">
      <c r="B93" s="78" t="s">
        <v>182</v>
      </c>
      <c r="C93" t="str">
        <f>Instructions!$C$6</f>
        <v>25-26</v>
      </c>
      <c r="D93" s="17" t="s">
        <v>283</v>
      </c>
      <c r="E93" t="s">
        <v>284</v>
      </c>
      <c r="F93" t="s">
        <v>276</v>
      </c>
      <c r="G93" t="s">
        <v>285</v>
      </c>
      <c r="H93" s="19" t="s">
        <v>140</v>
      </c>
      <c r="I93" s="239">
        <v>0</v>
      </c>
      <c r="J93" s="239">
        <v>0</v>
      </c>
      <c r="K93" s="239">
        <v>112000</v>
      </c>
      <c r="L93" s="239">
        <v>0</v>
      </c>
      <c r="M93" s="239">
        <v>0</v>
      </c>
      <c r="N93" s="239">
        <v>0</v>
      </c>
      <c r="O93" s="249">
        <f>SUM(Baseline[[#This Row],[CSS FSP]:[WET]])</f>
        <v>112000</v>
      </c>
      <c r="P93" s="239">
        <v>0</v>
      </c>
      <c r="Q93" s="239">
        <v>0</v>
      </c>
      <c r="R93" s="239">
        <v>0</v>
      </c>
      <c r="S93" s="239">
        <v>0</v>
      </c>
      <c r="T93" s="239">
        <v>0</v>
      </c>
      <c r="U93" s="239">
        <v>0</v>
      </c>
      <c r="V93" s="249">
        <f>SUM(Baseline[[#This Row],[FSP]:[Housing - Homeless]])</f>
        <v>0</v>
      </c>
      <c r="W93" s="239">
        <f>Baseline[[#This Row],[MHSA Total]]-Baseline[[#This Row],[BHSA Total]]</f>
        <v>112000</v>
      </c>
      <c r="X93" s="11"/>
    </row>
    <row r="94" spans="2:24">
      <c r="B94" s="78" t="s">
        <v>182</v>
      </c>
      <c r="C94" t="str">
        <f>Instructions!$C$6</f>
        <v>25-26</v>
      </c>
      <c r="D94" s="17" t="s">
        <v>257</v>
      </c>
      <c r="E94" t="s">
        <v>198</v>
      </c>
      <c r="F94" t="s">
        <v>191</v>
      </c>
      <c r="G94" t="s">
        <v>192</v>
      </c>
      <c r="H94" s="19" t="s">
        <v>140</v>
      </c>
      <c r="I94" s="239">
        <v>0</v>
      </c>
      <c r="J94" s="239">
        <v>0</v>
      </c>
      <c r="K94" s="239">
        <v>40000</v>
      </c>
      <c r="L94" s="239">
        <v>0</v>
      </c>
      <c r="M94" s="239">
        <v>0</v>
      </c>
      <c r="N94" s="239">
        <v>0</v>
      </c>
      <c r="O94" s="249">
        <f>SUM(Baseline[[#This Row],[CSS FSP]:[WET]])</f>
        <v>40000</v>
      </c>
      <c r="P94" s="239">
        <v>0</v>
      </c>
      <c r="Q94" s="239">
        <v>40000</v>
      </c>
      <c r="R94" s="239">
        <v>0</v>
      </c>
      <c r="S94" s="239">
        <v>0</v>
      </c>
      <c r="T94" s="239">
        <v>0</v>
      </c>
      <c r="U94" s="239">
        <v>0</v>
      </c>
      <c r="V94" s="249">
        <f>SUM(Baseline[[#This Row],[FSP]:[Housing - Homeless]])</f>
        <v>40000</v>
      </c>
      <c r="W94" s="239">
        <f>Baseline[[#This Row],[MHSA Total]]-Baseline[[#This Row],[BHSA Total]]</f>
        <v>0</v>
      </c>
      <c r="X94" s="11"/>
    </row>
    <row r="95" spans="2:24">
      <c r="B95" s="78" t="s">
        <v>182</v>
      </c>
      <c r="C95" t="str">
        <f>Instructions!$C$6</f>
        <v>25-26</v>
      </c>
      <c r="D95" s="17" t="s">
        <v>257</v>
      </c>
      <c r="E95" t="s">
        <v>198</v>
      </c>
      <c r="F95" t="s">
        <v>191</v>
      </c>
      <c r="G95" t="s">
        <v>192</v>
      </c>
      <c r="H95" s="19" t="s">
        <v>140</v>
      </c>
      <c r="I95" s="239">
        <v>0</v>
      </c>
      <c r="J95" s="239">
        <v>0</v>
      </c>
      <c r="K95" s="239">
        <v>6500</v>
      </c>
      <c r="L95" s="239">
        <v>0</v>
      </c>
      <c r="M95" s="239">
        <v>0</v>
      </c>
      <c r="N95" s="239">
        <v>0</v>
      </c>
      <c r="O95" s="249">
        <f>SUM(Baseline[[#This Row],[CSS FSP]:[WET]])</f>
        <v>6500</v>
      </c>
      <c r="P95" s="239">
        <v>0</v>
      </c>
      <c r="Q95" s="239">
        <v>6500</v>
      </c>
      <c r="R95" s="239">
        <v>0</v>
      </c>
      <c r="S95" s="239">
        <v>0</v>
      </c>
      <c r="T95" s="239">
        <v>0</v>
      </c>
      <c r="U95" s="239">
        <v>0</v>
      </c>
      <c r="V95" s="249">
        <f>SUM(Baseline[[#This Row],[FSP]:[Housing - Homeless]])</f>
        <v>6500</v>
      </c>
      <c r="W95" s="239">
        <f>Baseline[[#This Row],[MHSA Total]]-Baseline[[#This Row],[BHSA Total]]</f>
        <v>0</v>
      </c>
      <c r="X95" s="11"/>
    </row>
    <row r="96" spans="2:24">
      <c r="B96" s="78" t="s">
        <v>182</v>
      </c>
      <c r="C96" t="str">
        <f>Instructions!$C$6</f>
        <v>25-26</v>
      </c>
      <c r="D96" s="17" t="s">
        <v>257</v>
      </c>
      <c r="E96" t="s">
        <v>198</v>
      </c>
      <c r="F96" t="s">
        <v>191</v>
      </c>
      <c r="G96" t="s">
        <v>192</v>
      </c>
      <c r="H96" s="19" t="s">
        <v>140</v>
      </c>
      <c r="I96" s="239">
        <v>0</v>
      </c>
      <c r="J96" s="239">
        <v>0</v>
      </c>
      <c r="K96" s="239">
        <v>50000</v>
      </c>
      <c r="L96" s="239">
        <v>0</v>
      </c>
      <c r="M96" s="239">
        <v>0</v>
      </c>
      <c r="N96" s="239">
        <v>0</v>
      </c>
      <c r="O96" s="249">
        <f>SUM(Baseline[[#This Row],[CSS FSP]:[WET]])</f>
        <v>50000</v>
      </c>
      <c r="P96" s="239">
        <v>0</v>
      </c>
      <c r="Q96" s="239">
        <v>50000</v>
      </c>
      <c r="R96" s="239">
        <v>0</v>
      </c>
      <c r="S96" s="239">
        <v>0</v>
      </c>
      <c r="T96" s="239">
        <v>0</v>
      </c>
      <c r="U96" s="239">
        <v>0</v>
      </c>
      <c r="V96" s="249">
        <f>SUM(Baseline[[#This Row],[FSP]:[Housing - Homeless]])</f>
        <v>50000</v>
      </c>
      <c r="W96" s="239">
        <f>Baseline[[#This Row],[MHSA Total]]-Baseline[[#This Row],[BHSA Total]]</f>
        <v>0</v>
      </c>
      <c r="X96" s="11"/>
    </row>
    <row r="97" spans="2:24">
      <c r="B97" s="78" t="s">
        <v>182</v>
      </c>
      <c r="C97" t="str">
        <f>Instructions!$C$6</f>
        <v>25-26</v>
      </c>
      <c r="D97" s="17" t="s">
        <v>286</v>
      </c>
      <c r="E97" t="s">
        <v>198</v>
      </c>
      <c r="F97" t="s">
        <v>191</v>
      </c>
      <c r="G97" t="s">
        <v>192</v>
      </c>
      <c r="H97" s="19" t="s">
        <v>140</v>
      </c>
      <c r="I97" s="239">
        <v>0</v>
      </c>
      <c r="J97" s="239">
        <v>0</v>
      </c>
      <c r="K97" s="239">
        <v>15000</v>
      </c>
      <c r="L97" s="239">
        <v>0</v>
      </c>
      <c r="M97" s="239">
        <v>0</v>
      </c>
      <c r="N97" s="239">
        <v>0</v>
      </c>
      <c r="O97" s="249">
        <f>SUM(Baseline[[#This Row],[CSS FSP]:[WET]])</f>
        <v>15000</v>
      </c>
      <c r="P97" s="239">
        <v>0</v>
      </c>
      <c r="Q97" s="239">
        <v>15000</v>
      </c>
      <c r="R97" s="239">
        <v>0</v>
      </c>
      <c r="S97" s="239">
        <v>0</v>
      </c>
      <c r="T97" s="239">
        <v>0</v>
      </c>
      <c r="U97" s="239">
        <v>0</v>
      </c>
      <c r="V97" s="249">
        <f>SUM(Baseline[[#This Row],[FSP]:[Housing - Homeless]])</f>
        <v>15000</v>
      </c>
      <c r="W97" s="239">
        <f>Baseline[[#This Row],[MHSA Total]]-Baseline[[#This Row],[BHSA Total]]</f>
        <v>0</v>
      </c>
      <c r="X97" s="11"/>
    </row>
    <row r="98" spans="2:24">
      <c r="B98" s="78" t="s">
        <v>182</v>
      </c>
      <c r="C98" t="str">
        <f>Instructions!$C$6</f>
        <v>25-26</v>
      </c>
      <c r="D98" s="17" t="s">
        <v>257</v>
      </c>
      <c r="E98" t="s">
        <v>198</v>
      </c>
      <c r="F98" t="s">
        <v>191</v>
      </c>
      <c r="G98" t="s">
        <v>192</v>
      </c>
      <c r="H98" s="19" t="s">
        <v>140</v>
      </c>
      <c r="I98" s="239">
        <v>0</v>
      </c>
      <c r="J98" s="239">
        <v>0</v>
      </c>
      <c r="K98" s="239">
        <v>5000</v>
      </c>
      <c r="L98" s="239">
        <v>0</v>
      </c>
      <c r="M98" s="239">
        <v>0</v>
      </c>
      <c r="N98" s="239">
        <v>0</v>
      </c>
      <c r="O98" s="249">
        <f>SUM(Baseline[[#This Row],[CSS FSP]:[WET]])</f>
        <v>5000</v>
      </c>
      <c r="P98" s="239">
        <v>0</v>
      </c>
      <c r="Q98" s="239">
        <v>5000</v>
      </c>
      <c r="R98" s="239">
        <v>0</v>
      </c>
      <c r="S98" s="239">
        <v>0</v>
      </c>
      <c r="T98" s="239">
        <v>0</v>
      </c>
      <c r="U98" s="239">
        <v>0</v>
      </c>
      <c r="V98" s="249">
        <f>SUM(Baseline[[#This Row],[FSP]:[Housing - Homeless]])</f>
        <v>5000</v>
      </c>
      <c r="W98" s="239">
        <f>Baseline[[#This Row],[MHSA Total]]-Baseline[[#This Row],[BHSA Total]]</f>
        <v>0</v>
      </c>
      <c r="X98" s="11"/>
    </row>
    <row r="99" spans="2:24">
      <c r="B99" s="78" t="s">
        <v>182</v>
      </c>
      <c r="C99" t="str">
        <f>Instructions!$C$6</f>
        <v>25-26</v>
      </c>
      <c r="D99" s="17" t="s">
        <v>287</v>
      </c>
      <c r="E99" t="s">
        <v>198</v>
      </c>
      <c r="F99" t="s">
        <v>191</v>
      </c>
      <c r="G99" t="s">
        <v>192</v>
      </c>
      <c r="H99" s="19" t="s">
        <v>140</v>
      </c>
      <c r="I99" s="239">
        <v>0</v>
      </c>
      <c r="J99" s="239">
        <v>0</v>
      </c>
      <c r="K99" s="239">
        <v>15000</v>
      </c>
      <c r="L99" s="239">
        <v>0</v>
      </c>
      <c r="M99" s="239">
        <v>0</v>
      </c>
      <c r="N99" s="239">
        <v>0</v>
      </c>
      <c r="O99" s="249">
        <f>SUM(Baseline[[#This Row],[CSS FSP]:[WET]])</f>
        <v>15000</v>
      </c>
      <c r="P99" s="239">
        <v>0</v>
      </c>
      <c r="Q99" s="239">
        <v>15000</v>
      </c>
      <c r="R99" s="239">
        <v>0</v>
      </c>
      <c r="S99" s="239">
        <v>0</v>
      </c>
      <c r="T99" s="239">
        <v>0</v>
      </c>
      <c r="U99" s="239">
        <v>0</v>
      </c>
      <c r="V99" s="249">
        <f>SUM(Baseline[[#This Row],[FSP]:[Housing - Homeless]])</f>
        <v>15000</v>
      </c>
      <c r="W99" s="239">
        <f>Baseline[[#This Row],[MHSA Total]]-Baseline[[#This Row],[BHSA Total]]</f>
        <v>0</v>
      </c>
      <c r="X99" s="11"/>
    </row>
    <row r="100" spans="2:24">
      <c r="B100" s="78" t="s">
        <v>97</v>
      </c>
      <c r="C100" t="str">
        <f>Instructions!$C$6</f>
        <v>25-26</v>
      </c>
      <c r="D100" s="17" t="s">
        <v>288</v>
      </c>
      <c r="E100" t="s">
        <v>198</v>
      </c>
      <c r="F100" t="s">
        <v>191</v>
      </c>
      <c r="G100" t="s">
        <v>192</v>
      </c>
      <c r="H100" s="19" t="s">
        <v>140</v>
      </c>
      <c r="I100" s="239">
        <v>101000</v>
      </c>
      <c r="J100" s="239">
        <v>99000</v>
      </c>
      <c r="K100" s="239">
        <v>0</v>
      </c>
      <c r="L100" s="239">
        <v>0</v>
      </c>
      <c r="M100" s="239">
        <v>0</v>
      </c>
      <c r="N100" s="239">
        <v>0</v>
      </c>
      <c r="O100" s="249">
        <f>SUM(Baseline[[#This Row],[CSS FSP]:[WET]])</f>
        <v>200000</v>
      </c>
      <c r="P100" s="239">
        <v>0</v>
      </c>
      <c r="Q100" s="239">
        <v>200000</v>
      </c>
      <c r="R100" s="239">
        <v>0</v>
      </c>
      <c r="S100" s="239">
        <v>0</v>
      </c>
      <c r="T100" s="239">
        <v>0</v>
      </c>
      <c r="U100" s="239">
        <v>0</v>
      </c>
      <c r="V100" s="249">
        <f>SUM(Baseline[[#This Row],[FSP]:[Housing - Homeless]])</f>
        <v>200000</v>
      </c>
      <c r="W100" s="239">
        <f>Baseline[[#This Row],[MHSA Total]]-Baseline[[#This Row],[BHSA Total]]</f>
        <v>0</v>
      </c>
      <c r="X100" s="11"/>
    </row>
    <row r="101" spans="2:24">
      <c r="B101" s="78" t="s">
        <v>97</v>
      </c>
      <c r="C101" t="str">
        <f>Instructions!$C$6</f>
        <v>25-26</v>
      </c>
      <c r="D101" s="17" t="s">
        <v>289</v>
      </c>
      <c r="E101" t="s">
        <v>112</v>
      </c>
      <c r="F101" t="s">
        <v>290</v>
      </c>
      <c r="G101" t="s">
        <v>291</v>
      </c>
      <c r="H101" s="19" t="s">
        <v>140</v>
      </c>
      <c r="I101" s="239">
        <v>0</v>
      </c>
      <c r="J101" s="239">
        <v>0</v>
      </c>
      <c r="K101" s="239">
        <v>404598</v>
      </c>
      <c r="L101" s="239">
        <v>0</v>
      </c>
      <c r="M101" s="239">
        <v>0</v>
      </c>
      <c r="N101" s="239">
        <v>0</v>
      </c>
      <c r="O101" s="249">
        <f>SUM(Baseline[[#This Row],[CSS FSP]:[WET]])</f>
        <v>404598</v>
      </c>
      <c r="P101" s="239">
        <v>0</v>
      </c>
      <c r="Q101" s="239">
        <v>0</v>
      </c>
      <c r="R101" s="239">
        <v>404598</v>
      </c>
      <c r="S101" s="239">
        <v>0</v>
      </c>
      <c r="T101" s="239">
        <v>0</v>
      </c>
      <c r="U101" s="239">
        <v>0</v>
      </c>
      <c r="V101" s="249">
        <f>SUM(Baseline[[#This Row],[FSP]:[Housing - Homeless]])</f>
        <v>404598</v>
      </c>
      <c r="W101" s="239">
        <f>Baseline[[#This Row],[MHSA Total]]-Baseline[[#This Row],[BHSA Total]]</f>
        <v>0</v>
      </c>
      <c r="X101" s="11"/>
    </row>
    <row r="102" spans="2:24">
      <c r="B102" s="78" t="s">
        <v>97</v>
      </c>
      <c r="C102" t="str">
        <f>Instructions!$C$6</f>
        <v>25-26</v>
      </c>
      <c r="D102" s="17" t="s">
        <v>292</v>
      </c>
      <c r="E102" t="s">
        <v>279</v>
      </c>
      <c r="F102" t="s">
        <v>293</v>
      </c>
      <c r="G102" t="s">
        <v>279</v>
      </c>
      <c r="H102" s="19" t="s">
        <v>140</v>
      </c>
      <c r="I102" s="239">
        <v>0</v>
      </c>
      <c r="J102" s="239">
        <v>0</v>
      </c>
      <c r="K102" s="239">
        <v>50000</v>
      </c>
      <c r="L102" s="239">
        <v>0</v>
      </c>
      <c r="M102" s="239">
        <v>0</v>
      </c>
      <c r="N102" s="239">
        <v>0</v>
      </c>
      <c r="O102" s="249">
        <f>SUM(Baseline[[#This Row],[CSS FSP]:[WET]])</f>
        <v>50000</v>
      </c>
      <c r="P102" s="239">
        <v>0</v>
      </c>
      <c r="Q102" s="239">
        <v>0</v>
      </c>
      <c r="R102" s="239">
        <v>37500</v>
      </c>
      <c r="S102" s="239">
        <v>12500</v>
      </c>
      <c r="T102" s="239">
        <v>0</v>
      </c>
      <c r="U102" s="239">
        <v>0</v>
      </c>
      <c r="V102" s="249">
        <f>SUM(Baseline[[#This Row],[FSP]:[Housing - Homeless]])</f>
        <v>50000</v>
      </c>
      <c r="W102" s="239">
        <f>Baseline[[#This Row],[MHSA Total]]-Baseline[[#This Row],[BHSA Total]]</f>
        <v>0</v>
      </c>
      <c r="X102" s="11"/>
    </row>
    <row r="103" spans="2:24">
      <c r="B103" s="78" t="s">
        <v>97</v>
      </c>
      <c r="C103" t="str">
        <f>Instructions!$C$6</f>
        <v>25-26</v>
      </c>
      <c r="D103" s="17" t="s">
        <v>294</v>
      </c>
      <c r="E103" t="s">
        <v>295</v>
      </c>
      <c r="F103" t="s">
        <v>276</v>
      </c>
      <c r="G103" t="s">
        <v>285</v>
      </c>
      <c r="H103" s="19" t="s">
        <v>140</v>
      </c>
      <c r="I103" s="239">
        <v>0</v>
      </c>
      <c r="J103" s="239">
        <v>0</v>
      </c>
      <c r="K103" s="239">
        <v>410000</v>
      </c>
      <c r="L103" s="239">
        <v>0</v>
      </c>
      <c r="M103" s="239">
        <v>0</v>
      </c>
      <c r="N103" s="239">
        <v>0</v>
      </c>
      <c r="O103" s="249">
        <f>SUM(Baseline[[#This Row],[CSS FSP]:[WET]])</f>
        <v>410000</v>
      </c>
      <c r="P103" s="239">
        <v>0</v>
      </c>
      <c r="Q103" s="239">
        <v>0</v>
      </c>
      <c r="R103" s="239">
        <v>0</v>
      </c>
      <c r="S103" s="239">
        <v>0</v>
      </c>
      <c r="T103" s="239">
        <v>0</v>
      </c>
      <c r="U103" s="239">
        <v>0</v>
      </c>
      <c r="V103" s="249">
        <f>SUM(Baseline[[#This Row],[FSP]:[Housing - Homeless]])</f>
        <v>0</v>
      </c>
      <c r="W103" s="239">
        <f>Baseline[[#This Row],[MHSA Total]]-Baseline[[#This Row],[BHSA Total]]</f>
        <v>410000</v>
      </c>
      <c r="X103" s="11"/>
    </row>
    <row r="104" spans="2:24">
      <c r="B104" s="78" t="s">
        <v>97</v>
      </c>
      <c r="C104" t="str">
        <f>Instructions!$C$6</f>
        <v>25-26</v>
      </c>
      <c r="D104" s="17" t="s">
        <v>296</v>
      </c>
      <c r="E104" t="s">
        <v>112</v>
      </c>
      <c r="F104" t="s">
        <v>297</v>
      </c>
      <c r="G104" s="17" t="s">
        <v>112</v>
      </c>
      <c r="H104" s="19" t="s">
        <v>140</v>
      </c>
      <c r="I104" s="239">
        <v>0</v>
      </c>
      <c r="J104" s="239">
        <v>0</v>
      </c>
      <c r="K104" s="239">
        <v>181537</v>
      </c>
      <c r="L104" s="239">
        <v>0</v>
      </c>
      <c r="M104" s="239">
        <v>0</v>
      </c>
      <c r="N104" s="239">
        <v>0</v>
      </c>
      <c r="O104" s="249">
        <f>SUM(Baseline[[#This Row],[CSS FSP]:[WET]])</f>
        <v>181537</v>
      </c>
      <c r="P104" s="239">
        <v>0</v>
      </c>
      <c r="Q104" s="239">
        <v>0</v>
      </c>
      <c r="R104" s="239">
        <v>181537</v>
      </c>
      <c r="S104" s="239">
        <v>0</v>
      </c>
      <c r="T104" s="239">
        <v>0</v>
      </c>
      <c r="U104" s="239">
        <v>0</v>
      </c>
      <c r="V104" s="249">
        <f>SUM(Baseline[[#This Row],[FSP]:[Housing - Homeless]])</f>
        <v>181537</v>
      </c>
      <c r="W104" s="239">
        <f>Baseline[[#This Row],[MHSA Total]]-Baseline[[#This Row],[BHSA Total]]</f>
        <v>0</v>
      </c>
      <c r="X104" s="11"/>
    </row>
    <row r="105" spans="2:24">
      <c r="X105" s="11"/>
    </row>
    <row r="107" spans="2:24">
      <c r="P107" s="239"/>
      <c r="Q107" s="239"/>
      <c r="R107" s="239"/>
      <c r="S107" s="239"/>
      <c r="T107" s="239"/>
      <c r="U107" s="239"/>
    </row>
    <row r="108" spans="2:24">
      <c r="P108" s="239"/>
      <c r="Q108" s="239"/>
      <c r="R108" s="239"/>
      <c r="S108" s="239"/>
      <c r="T108" s="239"/>
      <c r="U108" s="239"/>
    </row>
    <row r="109" spans="2:24">
      <c r="B109"/>
      <c r="P109" s="239"/>
      <c r="Q109" s="239"/>
      <c r="R109" s="239"/>
      <c r="S109" s="239"/>
      <c r="T109" s="239"/>
      <c r="U109" s="239"/>
    </row>
    <row r="110" spans="2:24">
      <c r="B110"/>
      <c r="P110" s="239"/>
      <c r="Q110" s="239"/>
      <c r="R110" s="239"/>
      <c r="S110" s="239"/>
      <c r="T110" s="239"/>
      <c r="U110" s="239"/>
    </row>
    <row r="111" spans="2:24">
      <c r="B111"/>
      <c r="P111" s="239"/>
      <c r="Q111" s="239"/>
      <c r="R111" s="239"/>
      <c r="S111" s="239"/>
      <c r="T111" s="239"/>
      <c r="U111" s="239"/>
    </row>
    <row r="112" spans="2:24">
      <c r="B112"/>
      <c r="P112" s="239"/>
      <c r="Q112" s="239"/>
      <c r="R112" s="239"/>
      <c r="S112" s="239"/>
      <c r="T112" s="239"/>
      <c r="U112" s="239"/>
    </row>
    <row r="113" spans="2:21">
      <c r="B113"/>
      <c r="P113" s="239"/>
      <c r="Q113" s="239"/>
      <c r="R113" s="239"/>
      <c r="S113" s="239"/>
      <c r="T113" s="239"/>
      <c r="U113" s="239"/>
    </row>
    <row r="114" spans="2:21">
      <c r="B114"/>
      <c r="P114" s="239"/>
      <c r="Q114" s="239"/>
      <c r="R114" s="239"/>
      <c r="S114" s="239"/>
      <c r="T114" s="239"/>
      <c r="U114" s="239"/>
    </row>
    <row r="115" spans="2:21">
      <c r="B115"/>
      <c r="P115" s="239"/>
      <c r="Q115" s="239"/>
      <c r="R115" s="239"/>
      <c r="S115" s="239"/>
      <c r="T115" s="239"/>
      <c r="U115" s="239"/>
    </row>
    <row r="116" spans="2:21">
      <c r="B116"/>
      <c r="P116" s="239"/>
      <c r="Q116" s="239"/>
      <c r="R116" s="239"/>
      <c r="S116" s="239"/>
      <c r="T116" s="239"/>
      <c r="U116" s="239"/>
    </row>
    <row r="117" spans="2:21">
      <c r="B117"/>
      <c r="P117" s="239"/>
      <c r="Q117" s="239"/>
      <c r="R117" s="239"/>
      <c r="S117" s="239"/>
      <c r="T117" s="239"/>
      <c r="U117" s="239"/>
    </row>
    <row r="118" spans="2:21">
      <c r="B118"/>
      <c r="P118" s="239"/>
      <c r="Q118" s="239"/>
      <c r="R118" s="239"/>
      <c r="S118" s="239"/>
      <c r="T118" s="239"/>
      <c r="U118" s="239"/>
    </row>
    <row r="119" spans="2:21">
      <c r="B119"/>
      <c r="P119" s="239"/>
      <c r="Q119" s="239"/>
      <c r="R119" s="239"/>
      <c r="S119" s="239"/>
      <c r="T119" s="239"/>
      <c r="U119" s="239"/>
    </row>
    <row r="120" spans="2:21">
      <c r="B120"/>
      <c r="P120" s="239"/>
      <c r="Q120" s="239"/>
      <c r="R120" s="239"/>
      <c r="S120" s="239"/>
      <c r="T120" s="239"/>
      <c r="U120" s="239"/>
    </row>
    <row r="121" spans="2:21">
      <c r="B121"/>
      <c r="P121" s="239"/>
      <c r="Q121" s="239"/>
      <c r="R121" s="239"/>
      <c r="S121" s="239"/>
      <c r="T121" s="239"/>
      <c r="U121" s="239"/>
    </row>
    <row r="122" spans="2:21">
      <c r="B122"/>
      <c r="P122" s="239"/>
      <c r="Q122" s="239"/>
      <c r="R122" s="239"/>
      <c r="S122" s="239"/>
      <c r="T122" s="239"/>
      <c r="U122" s="239"/>
    </row>
    <row r="123" spans="2:21">
      <c r="B123"/>
      <c r="P123" s="239"/>
      <c r="Q123" s="239"/>
      <c r="R123" s="239"/>
      <c r="S123" s="239"/>
      <c r="T123" s="239"/>
      <c r="U123" s="239"/>
    </row>
    <row r="124" spans="2:21">
      <c r="B124"/>
      <c r="P124" s="239"/>
      <c r="Q124" s="239"/>
      <c r="R124" s="239"/>
      <c r="S124" s="239"/>
      <c r="T124" s="239"/>
      <c r="U124" s="239"/>
    </row>
    <row r="125" spans="2:21">
      <c r="B125"/>
      <c r="P125" s="239"/>
      <c r="Q125" s="239"/>
      <c r="R125" s="239"/>
      <c r="S125" s="239"/>
      <c r="T125" s="239"/>
      <c r="U125" s="239"/>
    </row>
    <row r="126" spans="2:21">
      <c r="B126"/>
      <c r="P126" s="239"/>
      <c r="Q126" s="239"/>
      <c r="R126" s="239"/>
      <c r="S126" s="239"/>
      <c r="T126" s="239"/>
      <c r="U126" s="239"/>
    </row>
    <row r="127" spans="2:21">
      <c r="B127"/>
      <c r="P127" s="239"/>
      <c r="Q127" s="239"/>
      <c r="R127" s="239"/>
      <c r="S127" s="239"/>
      <c r="T127" s="239"/>
      <c r="U127" s="239"/>
    </row>
    <row r="128" spans="2:21">
      <c r="B128"/>
      <c r="P128" s="239"/>
      <c r="Q128" s="239"/>
      <c r="R128" s="239"/>
      <c r="S128" s="239"/>
      <c r="T128" s="239"/>
      <c r="U128" s="239"/>
    </row>
    <row r="129" spans="2:21">
      <c r="B129"/>
      <c r="P129" s="239"/>
      <c r="Q129" s="239"/>
      <c r="R129" s="239"/>
      <c r="S129" s="239"/>
      <c r="T129" s="239"/>
      <c r="U129" s="239"/>
    </row>
    <row r="130" spans="2:21">
      <c r="B130"/>
      <c r="P130" s="239"/>
      <c r="Q130" s="239"/>
      <c r="R130" s="239"/>
      <c r="S130" s="239"/>
      <c r="T130" s="239"/>
      <c r="U130" s="239"/>
    </row>
    <row r="131" spans="2:21">
      <c r="B131"/>
      <c r="P131" s="239"/>
      <c r="Q131" s="239"/>
      <c r="R131" s="239"/>
      <c r="S131" s="239"/>
      <c r="T131" s="239"/>
      <c r="U131" s="239"/>
    </row>
    <row r="132" spans="2:21">
      <c r="B132"/>
      <c r="P132" s="239"/>
      <c r="Q132" s="239"/>
      <c r="R132" s="239"/>
      <c r="S132" s="239"/>
      <c r="T132" s="239"/>
      <c r="U132" s="239"/>
    </row>
    <row r="133" spans="2:21">
      <c r="B133"/>
      <c r="P133" s="239"/>
      <c r="Q133" s="239"/>
      <c r="R133" s="239"/>
      <c r="S133" s="239"/>
      <c r="T133" s="239"/>
      <c r="U133" s="239"/>
    </row>
    <row r="134" spans="2:21">
      <c r="B134"/>
      <c r="P134" s="239"/>
      <c r="Q134" s="239"/>
      <c r="R134" s="239"/>
      <c r="S134" s="239"/>
      <c r="T134" s="239"/>
      <c r="U134" s="239"/>
    </row>
    <row r="135" spans="2:21">
      <c r="B135"/>
      <c r="P135" s="239"/>
      <c r="Q135" s="239"/>
      <c r="R135" s="239"/>
      <c r="S135" s="239"/>
      <c r="T135" s="239"/>
      <c r="U135" s="239"/>
    </row>
    <row r="136" spans="2:21">
      <c r="B136"/>
      <c r="P136" s="239"/>
      <c r="Q136" s="239"/>
      <c r="R136" s="239"/>
      <c r="S136" s="239"/>
      <c r="T136" s="239"/>
      <c r="U136" s="239"/>
    </row>
    <row r="137" spans="2:21">
      <c r="B137"/>
      <c r="P137" s="239"/>
      <c r="Q137" s="239"/>
      <c r="R137" s="239"/>
      <c r="S137" s="239"/>
      <c r="T137" s="239"/>
      <c r="U137" s="239"/>
    </row>
    <row r="138" spans="2:21">
      <c r="B138"/>
      <c r="P138" s="239"/>
      <c r="Q138" s="239"/>
      <c r="R138" s="239"/>
      <c r="S138" s="239"/>
      <c r="T138" s="239"/>
      <c r="U138" s="239"/>
    </row>
    <row r="139" spans="2:21">
      <c r="B139"/>
      <c r="P139" s="239"/>
      <c r="Q139" s="239"/>
      <c r="R139" s="239"/>
      <c r="S139" s="239"/>
      <c r="T139" s="239"/>
      <c r="U139" s="239"/>
    </row>
    <row r="140" spans="2:21">
      <c r="B140"/>
      <c r="P140" s="239"/>
      <c r="Q140" s="239"/>
      <c r="R140" s="239"/>
      <c r="S140" s="239"/>
      <c r="T140" s="239"/>
      <c r="U140" s="239"/>
    </row>
    <row r="141" spans="2:21">
      <c r="B141"/>
      <c r="P141" s="239"/>
      <c r="Q141" s="239"/>
      <c r="R141" s="239"/>
      <c r="S141" s="239"/>
      <c r="T141" s="239"/>
      <c r="U141" s="239"/>
    </row>
    <row r="142" spans="2:21">
      <c r="B142"/>
      <c r="P142" s="239"/>
      <c r="Q142" s="239"/>
      <c r="R142" s="239"/>
      <c r="S142" s="239"/>
      <c r="T142" s="239"/>
      <c r="U142" s="239"/>
    </row>
    <row r="143" spans="2:21">
      <c r="B143"/>
      <c r="P143" s="239"/>
      <c r="Q143" s="239"/>
      <c r="R143" s="239"/>
      <c r="S143" s="239"/>
      <c r="T143" s="239"/>
      <c r="U143" s="239"/>
    </row>
    <row r="144" spans="2:21">
      <c r="B144"/>
      <c r="P144" s="239"/>
      <c r="Q144" s="239"/>
      <c r="R144" s="239"/>
      <c r="S144" s="239"/>
      <c r="T144" s="239"/>
      <c r="U144" s="239"/>
    </row>
    <row r="145" spans="2:21">
      <c r="B145"/>
      <c r="P145" s="239"/>
      <c r="Q145" s="239"/>
      <c r="R145" s="239"/>
      <c r="S145" s="239"/>
      <c r="T145" s="239"/>
      <c r="U145" s="239"/>
    </row>
    <row r="146" spans="2:21">
      <c r="B146"/>
      <c r="P146" s="239"/>
      <c r="Q146" s="239"/>
      <c r="R146" s="239"/>
      <c r="S146" s="239"/>
      <c r="T146" s="239"/>
      <c r="U146" s="239"/>
    </row>
    <row r="147" spans="2:21">
      <c r="B147"/>
      <c r="P147" s="239"/>
      <c r="Q147" s="239"/>
      <c r="R147" s="239"/>
      <c r="S147" s="239"/>
      <c r="T147" s="239"/>
      <c r="U147" s="239"/>
    </row>
    <row r="148" spans="2:21">
      <c r="B148"/>
      <c r="P148" s="239"/>
      <c r="Q148" s="239"/>
      <c r="R148" s="239"/>
      <c r="S148" s="239"/>
      <c r="T148" s="239"/>
      <c r="U148" s="239"/>
    </row>
    <row r="149" spans="2:21">
      <c r="B149"/>
      <c r="P149" s="239"/>
      <c r="Q149" s="239"/>
      <c r="R149" s="239"/>
      <c r="S149" s="239"/>
      <c r="T149" s="239"/>
      <c r="U149" s="239"/>
    </row>
    <row r="150" spans="2:21">
      <c r="B150"/>
      <c r="P150" s="239"/>
      <c r="Q150" s="239"/>
      <c r="R150" s="239"/>
      <c r="S150" s="239"/>
      <c r="T150" s="239"/>
      <c r="U150" s="239"/>
    </row>
    <row r="151" spans="2:21">
      <c r="B151"/>
      <c r="P151" s="239"/>
      <c r="Q151" s="239"/>
      <c r="R151" s="239"/>
      <c r="S151" s="239"/>
      <c r="T151" s="239"/>
      <c r="U151" s="239"/>
    </row>
    <row r="152" spans="2:21">
      <c r="B152"/>
      <c r="P152" s="239"/>
      <c r="Q152" s="239"/>
      <c r="R152" s="239"/>
      <c r="S152" s="239"/>
      <c r="T152" s="239"/>
      <c r="U152" s="239"/>
    </row>
    <row r="153" spans="2:21">
      <c r="B153"/>
      <c r="P153" s="239"/>
      <c r="Q153" s="239"/>
      <c r="R153" s="239"/>
      <c r="S153" s="239"/>
      <c r="T153" s="239"/>
      <c r="U153" s="239"/>
    </row>
    <row r="154" spans="2:21">
      <c r="B154"/>
      <c r="P154" s="239"/>
      <c r="Q154" s="239"/>
      <c r="R154" s="239"/>
      <c r="S154" s="239"/>
      <c r="T154" s="239"/>
      <c r="U154" s="239"/>
    </row>
    <row r="155" spans="2:21">
      <c r="B155"/>
      <c r="P155" s="239"/>
      <c r="Q155" s="239"/>
      <c r="R155" s="239"/>
      <c r="S155" s="239"/>
      <c r="T155" s="239"/>
      <c r="U155" s="239"/>
    </row>
    <row r="156" spans="2:21">
      <c r="B156"/>
      <c r="P156" s="239"/>
      <c r="Q156" s="239"/>
      <c r="R156" s="239"/>
      <c r="S156" s="239"/>
      <c r="T156" s="239"/>
      <c r="U156" s="239"/>
    </row>
    <row r="157" spans="2:21">
      <c r="B157"/>
      <c r="P157" s="239"/>
      <c r="Q157" s="239"/>
      <c r="R157" s="239"/>
      <c r="S157" s="239"/>
      <c r="T157" s="239"/>
      <c r="U157" s="239"/>
    </row>
    <row r="158" spans="2:21">
      <c r="B158"/>
      <c r="P158" s="239"/>
      <c r="Q158" s="239"/>
      <c r="R158" s="239"/>
      <c r="S158" s="239"/>
      <c r="T158" s="239"/>
      <c r="U158" s="239"/>
    </row>
    <row r="159" spans="2:21">
      <c r="B159"/>
      <c r="P159" s="239"/>
      <c r="Q159" s="239"/>
      <c r="R159" s="239"/>
      <c r="S159" s="239"/>
      <c r="T159" s="239"/>
      <c r="U159" s="239"/>
    </row>
    <row r="160" spans="2:21">
      <c r="B160"/>
      <c r="P160" s="239"/>
      <c r="Q160" s="239"/>
      <c r="R160" s="239"/>
      <c r="S160" s="239"/>
      <c r="T160" s="239"/>
      <c r="U160" s="239"/>
    </row>
    <row r="161" spans="2:21">
      <c r="B161"/>
      <c r="P161" s="239"/>
      <c r="Q161" s="239"/>
      <c r="R161" s="239"/>
      <c r="S161" s="239"/>
      <c r="T161" s="239"/>
      <c r="U161" s="239"/>
    </row>
    <row r="162" spans="2:21">
      <c r="B162"/>
      <c r="P162" s="239"/>
      <c r="Q162" s="239"/>
      <c r="R162" s="239"/>
      <c r="S162" s="239"/>
      <c r="T162" s="239"/>
      <c r="U162" s="239"/>
    </row>
    <row r="163" spans="2:21">
      <c r="B163"/>
      <c r="P163" s="239"/>
      <c r="Q163" s="239"/>
      <c r="R163" s="239"/>
      <c r="S163" s="239"/>
      <c r="T163" s="239"/>
      <c r="U163" s="239"/>
    </row>
    <row r="164" spans="2:21">
      <c r="B164"/>
      <c r="P164" s="239"/>
      <c r="Q164" s="239"/>
      <c r="R164" s="239"/>
      <c r="S164" s="239"/>
      <c r="T164" s="239"/>
      <c r="U164" s="239"/>
    </row>
    <row r="165" spans="2:21">
      <c r="B165"/>
      <c r="P165" s="239"/>
      <c r="Q165" s="239"/>
      <c r="R165" s="239"/>
      <c r="S165" s="239"/>
      <c r="T165" s="239"/>
      <c r="U165" s="239"/>
    </row>
    <row r="166" spans="2:21">
      <c r="B166"/>
      <c r="P166" s="239"/>
      <c r="Q166" s="239"/>
      <c r="R166" s="239"/>
      <c r="S166" s="239"/>
      <c r="T166" s="239"/>
      <c r="U166" s="239"/>
    </row>
    <row r="167" spans="2:21">
      <c r="B167"/>
      <c r="P167" s="239"/>
      <c r="Q167" s="239"/>
      <c r="R167" s="239"/>
      <c r="S167" s="239"/>
      <c r="T167" s="239"/>
      <c r="U167" s="239"/>
    </row>
    <row r="168" spans="2:21">
      <c r="B168"/>
      <c r="P168" s="239"/>
      <c r="Q168" s="239"/>
      <c r="R168" s="239"/>
      <c r="S168" s="239"/>
      <c r="T168" s="239"/>
      <c r="U168" s="239"/>
    </row>
    <row r="169" spans="2:21">
      <c r="B169"/>
      <c r="P169" s="239"/>
      <c r="Q169" s="239"/>
      <c r="R169" s="239"/>
      <c r="S169" s="239"/>
      <c r="T169" s="239"/>
      <c r="U169" s="239"/>
    </row>
    <row r="170" spans="2:21">
      <c r="B170"/>
      <c r="P170" s="239"/>
      <c r="Q170" s="239"/>
      <c r="R170" s="239"/>
      <c r="S170" s="239"/>
      <c r="T170" s="239"/>
      <c r="U170" s="239"/>
    </row>
    <row r="171" spans="2:21">
      <c r="B171"/>
      <c r="P171" s="239"/>
      <c r="Q171" s="239"/>
      <c r="R171" s="239"/>
      <c r="S171" s="239"/>
      <c r="T171" s="239"/>
      <c r="U171" s="239"/>
    </row>
    <row r="172" spans="2:21">
      <c r="B172"/>
      <c r="P172" s="239"/>
      <c r="Q172" s="239"/>
      <c r="R172" s="239"/>
      <c r="S172" s="239"/>
      <c r="T172" s="239"/>
      <c r="U172" s="239"/>
    </row>
    <row r="173" spans="2:21">
      <c r="B173"/>
      <c r="P173" s="239"/>
      <c r="Q173" s="239"/>
      <c r="R173" s="239"/>
      <c r="S173" s="239"/>
      <c r="T173" s="239"/>
      <c r="U173" s="239"/>
    </row>
    <row r="174" spans="2:21">
      <c r="B174"/>
      <c r="P174" s="239"/>
      <c r="Q174" s="239"/>
      <c r="R174" s="239"/>
      <c r="S174" s="239"/>
      <c r="T174" s="239"/>
      <c r="U174" s="239"/>
    </row>
    <row r="175" spans="2:21">
      <c r="B175"/>
      <c r="P175" s="239"/>
      <c r="Q175" s="239"/>
      <c r="R175" s="239"/>
      <c r="S175" s="239"/>
      <c r="T175" s="239"/>
      <c r="U175" s="239"/>
    </row>
    <row r="176" spans="2:21">
      <c r="B176"/>
      <c r="P176" s="239"/>
      <c r="Q176" s="239"/>
      <c r="R176" s="239"/>
      <c r="S176" s="239"/>
      <c r="T176" s="239"/>
      <c r="U176" s="239"/>
    </row>
    <row r="177" spans="2:21">
      <c r="B177"/>
      <c r="P177" s="239"/>
      <c r="Q177" s="239"/>
      <c r="R177" s="239"/>
      <c r="S177" s="239"/>
      <c r="T177" s="239"/>
      <c r="U177" s="239"/>
    </row>
    <row r="178" spans="2:21">
      <c r="B178"/>
      <c r="P178" s="239"/>
      <c r="Q178" s="239"/>
      <c r="R178" s="239"/>
      <c r="S178" s="239"/>
      <c r="T178" s="239"/>
      <c r="U178" s="239"/>
    </row>
    <row r="179" spans="2:21">
      <c r="B179"/>
      <c r="P179" s="239"/>
      <c r="Q179" s="239"/>
      <c r="R179" s="239"/>
      <c r="S179" s="239"/>
      <c r="T179" s="239"/>
      <c r="U179" s="239"/>
    </row>
    <row r="180" spans="2:21">
      <c r="B180"/>
      <c r="P180" s="239"/>
      <c r="Q180" s="239"/>
      <c r="R180" s="239"/>
      <c r="S180" s="239"/>
      <c r="T180" s="239"/>
      <c r="U180" s="239"/>
    </row>
    <row r="181" spans="2:21">
      <c r="B181"/>
      <c r="P181" s="239"/>
      <c r="Q181" s="239"/>
      <c r="R181" s="239"/>
      <c r="S181" s="239"/>
      <c r="T181" s="239"/>
      <c r="U181" s="239"/>
    </row>
    <row r="182" spans="2:21">
      <c r="B182"/>
      <c r="P182" s="239"/>
      <c r="Q182" s="239"/>
      <c r="R182" s="239"/>
      <c r="S182" s="239"/>
      <c r="T182" s="239"/>
      <c r="U182" s="239"/>
    </row>
    <row r="183" spans="2:21">
      <c r="B183"/>
      <c r="P183" s="239"/>
      <c r="Q183" s="239"/>
      <c r="R183" s="239"/>
      <c r="S183" s="239"/>
      <c r="T183" s="239"/>
      <c r="U183" s="239"/>
    </row>
    <row r="184" spans="2:21">
      <c r="B184"/>
      <c r="P184" s="239"/>
      <c r="Q184" s="239"/>
      <c r="R184" s="239"/>
      <c r="S184" s="239"/>
      <c r="T184" s="239"/>
      <c r="U184" s="239"/>
    </row>
    <row r="185" spans="2:21">
      <c r="B185"/>
      <c r="P185" s="239"/>
      <c r="Q185" s="239"/>
      <c r="R185" s="239"/>
      <c r="S185" s="239"/>
      <c r="T185" s="239"/>
      <c r="U185" s="239"/>
    </row>
    <row r="186" spans="2:21">
      <c r="B186"/>
      <c r="P186" s="239"/>
      <c r="Q186" s="239"/>
      <c r="R186" s="239"/>
      <c r="S186" s="239"/>
      <c r="T186" s="239"/>
      <c r="U186" s="239"/>
    </row>
    <row r="187" spans="2:21">
      <c r="B187"/>
      <c r="P187" s="239"/>
      <c r="Q187" s="239"/>
      <c r="R187" s="239"/>
      <c r="S187" s="239"/>
      <c r="T187" s="239"/>
      <c r="U187" s="239"/>
    </row>
    <row r="188" spans="2:21">
      <c r="B188"/>
      <c r="P188" s="239"/>
      <c r="Q188" s="239"/>
      <c r="R188" s="239"/>
      <c r="S188" s="239"/>
      <c r="T188" s="239"/>
      <c r="U188" s="239"/>
    </row>
    <row r="189" spans="2:21">
      <c r="P189" s="239"/>
      <c r="Q189" s="239"/>
      <c r="R189" s="239"/>
      <c r="S189" s="239"/>
      <c r="T189" s="239"/>
      <c r="U189" s="239"/>
    </row>
    <row r="190" spans="2:21">
      <c r="P190" s="239"/>
      <c r="Q190" s="239"/>
      <c r="R190" s="239"/>
      <c r="S190" s="239"/>
      <c r="T190" s="239"/>
      <c r="U190" s="239"/>
    </row>
    <row r="191" spans="2:21">
      <c r="P191" s="239"/>
      <c r="Q191" s="239"/>
      <c r="R191" s="239"/>
      <c r="S191" s="239"/>
      <c r="T191" s="239"/>
      <c r="U191" s="239"/>
    </row>
    <row r="192" spans="2:21">
      <c r="P192" s="239"/>
      <c r="Q192" s="239"/>
      <c r="R192" s="239"/>
      <c r="S192" s="239"/>
      <c r="T192" s="239"/>
      <c r="U192" s="239"/>
    </row>
    <row r="193" spans="16:21">
      <c r="P193" s="239"/>
      <c r="Q193" s="239"/>
      <c r="R193" s="239"/>
      <c r="S193" s="239"/>
      <c r="T193" s="239"/>
      <c r="U193" s="239"/>
    </row>
    <row r="194" spans="16:21">
      <c r="P194" s="239"/>
      <c r="Q194" s="239"/>
      <c r="R194" s="239"/>
      <c r="S194" s="239"/>
      <c r="T194" s="239"/>
      <c r="U194" s="239"/>
    </row>
    <row r="195" spans="16:21">
      <c r="P195" s="239"/>
      <c r="Q195" s="239"/>
      <c r="R195" s="239"/>
      <c r="S195" s="239"/>
      <c r="T195" s="239"/>
      <c r="U195" s="239"/>
    </row>
    <row r="196" spans="16:21">
      <c r="P196" s="239"/>
      <c r="Q196" s="239"/>
      <c r="R196" s="239"/>
      <c r="S196" s="239"/>
      <c r="T196" s="239"/>
      <c r="U196" s="239"/>
    </row>
    <row r="197" spans="16:21">
      <c r="P197" s="239"/>
      <c r="Q197" s="239"/>
      <c r="R197" s="239"/>
      <c r="S197" s="239"/>
      <c r="T197" s="239"/>
      <c r="U197" s="239"/>
    </row>
    <row r="198" spans="16:21">
      <c r="P198" s="239"/>
      <c r="Q198" s="239"/>
      <c r="R198" s="239"/>
      <c r="S198" s="239"/>
      <c r="T198" s="239"/>
      <c r="U198" s="239"/>
    </row>
    <row r="199" spans="16:21">
      <c r="P199" s="239"/>
      <c r="Q199" s="239"/>
      <c r="R199" s="239"/>
      <c r="S199" s="239"/>
      <c r="T199" s="239"/>
      <c r="U199" s="239"/>
    </row>
    <row r="200" spans="16:21">
      <c r="P200" s="239"/>
      <c r="Q200" s="239"/>
      <c r="R200" s="239"/>
      <c r="S200" s="239"/>
      <c r="T200" s="239"/>
      <c r="U200" s="239"/>
    </row>
  </sheetData>
  <mergeCells count="2">
    <mergeCell ref="K6:K8"/>
    <mergeCell ref="K4:K5"/>
  </mergeCells>
  <phoneticPr fontId="6" type="noConversion"/>
  <dataValidations xWindow="1066" yWindow="546" count="29">
    <dataValidation allowBlank="1" showInputMessage="1" showErrorMessage="1" promptTitle="Notice" prompt="Enter the budget amount for each activity in your MHSA Baseline linked to this component. Record expenses as positive values and offsetting revenue (e.g. FFP) as negative values." sqref="I10:N10" xr:uid="{3DE65282-9C77-4119-949D-3F97A953FCD6}"/>
    <dataValidation allowBlank="1" showInputMessage="1" showErrorMessage="1" promptTitle="Notice" prompt="Enter if the activity is run by the county or a contracted provider (CBO). This field isn’t critical for the tool but can be repurposed, e.g., for BH CoC category or another identifier." sqref="B10" xr:uid="{394D1490-CCFF-4BE4-AD8F-26087EF08338}"/>
    <dataValidation allowBlank="1" showInputMessage="1" showErrorMessage="1" promptTitle="Notice" prompt="This section calculates automatically. By default, it assumes your county uses the FY25/26 MHSA budget for modeling. If using a different budget, update the table in the Instructions tab." sqref="C10" xr:uid="{4B117213-8532-435D-BE10-2F146077A6C0}"/>
    <dataValidation allowBlank="1" showInputMessage="1" showErrorMessage="1" promptTitle="Notice" prompt="Enter the title of each activity in your county’s Baseline FY MHSA budget. The number of entries should match the number of distinct activities in that budget." sqref="D10" xr:uid="{54963C12-9328-44D3-A788-238D3DE8CCB9}"/>
    <dataValidation allowBlank="1" showInputMessage="1" showErrorMessage="1" promptTitle="Notice" prompt="Add a comment explaining why each activity is moved to a BHSA component, sunset, or shifted to other funding. This note should summarize the analyst’s rationale for what they are planning for each Baseline MHSA activity." sqref="G10" xr:uid="{61E3A178-D2C7-4A26-8B58-C0CEB7F8FA2E}"/>
    <dataValidation allowBlank="1" showInputMessage="1" showErrorMessage="1" promptTitle="Notice" prompt="Enter “Y” if the activity is revenue or “N” if it’s an expense. Example: for billable activities that offset MHSA expenses, enter “N” and then add another record directly below with the same activity name marked as “Y.&quot;" sqref="H10" xr:uid="{96ADC1C1-5C5D-41DF-9185-0FE966E829B6}"/>
    <dataValidation allowBlank="1" showInputMessage="1" showErrorMessage="1" promptTitle="Notice" prompt="No entry required; this field is auto-calculated." sqref="O10 V10" xr:uid="{AD151122-CA0C-4688-9056-DAA987BB131B}"/>
    <dataValidation allowBlank="1" showInputMessage="1" showErrorMessage="1" promptTitle="Notice" prompt="Enter the portion of the MHSA Baseline budget planned to migrate into this BHSA component or subcomponent. Record expenses as positive values and offsetting revenue as negative values." sqref="P10:U10" xr:uid="{C8FB88CA-C83B-416C-97D3-3A89C3C189BC}"/>
    <dataValidation allowBlank="1" showInputMessage="1" showErrorMessage="1" promptTitle="Notice" prompt="No entry required; this field is auto-calculated. It represents the portion of the MHSA Baseline budget for each activity that is not planned to migrate into a BHSA component." sqref="W10" xr:uid="{44FDBDCA-8A37-4F49-BD28-E736C81425DC}"/>
    <dataValidation allowBlank="1" showInputMessage="1" showErrorMessage="1" promptTitle="Notice" prompt="This shows the percentage of the total budget represented by the FSP component for the BHSA plan year(s) marked with an “x” on the left." sqref="P5:P6 V5" xr:uid="{D68A5AE1-BF40-473B-B308-4D2AA8FC2830}"/>
    <dataValidation allowBlank="1" showInputMessage="1" showErrorMessage="1" promptTitle="Notice" prompt="This reflects the total BHSS GSD component budget based on analyst inputs from the Baseline and Incremental tabs for the BHSA plan year(s) marked with an “x” on the left." sqref="Q4" xr:uid="{A6B39DD8-C5D4-49F4-927D-04C213CD8A15}"/>
    <dataValidation allowBlank="1" showInputMessage="1" showErrorMessage="1" promptTitle="Notice" prompt="This reflects the total BHSS EI component budget based on analyst inputs from the Baseline and Incremental tabs for the BHSA plan year(s) marked with an “x” on the left." sqref="R4" xr:uid="{89F6C61F-5B3C-4110-BC7C-23E9314EFE95}"/>
    <dataValidation allowBlank="1" showInputMessage="1" showErrorMessage="1" promptTitle="Notice" prompt="This reflects the total BHSS EI &lt;25 component budget based on analyst inputs from the Baseline and Incremental tabs for the BHSA plan year(s) marked with an “x” on the left." sqref="S4" xr:uid="{CD71A116-B1F7-45B8-915C-7A30BE7DFA54}"/>
    <dataValidation allowBlank="1" showInputMessage="1" showErrorMessage="1" promptTitle="Notice" prompt="This reflects the total HI component budget based on analyst inputs from the Baseline and Incremental tabs for the BHSA plan year(s) marked with an “x” on the left." sqref="T4" xr:uid="{41012ADB-295E-47DB-9F79-F2476DDE4A3C}"/>
    <dataValidation allowBlank="1" showInputMessage="1" showErrorMessage="1" promptTitle="Notice" prompt="This reflects the total HI - Chronically Homeless component budget based on analyst inputs from the Baseline and Incremental tabs for the BHSA plan year(s) marked with an “x” on the left." sqref="U4" xr:uid="{EA043D5C-849E-4249-B3F9-26488B8D334C}"/>
    <dataValidation allowBlank="1" showInputMessage="1" showErrorMessage="1" promptTitle="Notice" prompt="This reflects the total FSP component budget based on analyst inputs from the Baseline and Incremental tabs for the BHSA plan year(s) marked with an “x” on the left." sqref="P4" xr:uid="{5F04C629-118F-45C6-BE52-C0D75FE39FB7}"/>
    <dataValidation allowBlank="1" showInputMessage="1" showErrorMessage="1" promptTitle="Notice" prompt="This shows the percentage of the total budget represented by the BHSS GSD component for the BHSA plan year(s) marked with an “x” on the left." sqref="Q5" xr:uid="{9FBCD73D-061D-495C-A894-68A425B78ADB}"/>
    <dataValidation allowBlank="1" showInputMessage="1" showErrorMessage="1" promptTitle="Notice" prompt="This shows the percentage of the total budget represented by the BHSS EI component for the BHSA plan year(s) marked with an “x” on the left." sqref="R5" xr:uid="{A93F1346-F915-4EA6-BA73-54A5B3EEB917}"/>
    <dataValidation allowBlank="1" showInputMessage="1" showErrorMessage="1" promptTitle="Notice" prompt="This shows the percentage of the total budget represented by the BHS EI &lt;25 component for the BHSA plan year(s) marked with an “x” on the left." sqref="S5" xr:uid="{CBC672CA-5B90-4A8B-AE95-CC4B2305F067}"/>
    <dataValidation allowBlank="1" showInputMessage="1" showErrorMessage="1" promptTitle="Notice" prompt="This shows the percentage of the total budget represented by the HI component for the BHSA plan year(s) marked with an “x” on the left." sqref="T5" xr:uid="{1D231BAE-3E09-440A-94C3-CAF13200A297}"/>
    <dataValidation allowBlank="1" showInputMessage="1" showErrorMessage="1" promptTitle="Notice" prompt="This shows the percentage of the total budget represented by the HI - Chronically Homeless component for the BHSA plan year(s) marked with an “x” on the left." sqref="U5" xr:uid="{57A41E74-8D42-46DA-A934-CE629B3F8F90}"/>
    <dataValidation allowBlank="1" showInputMessage="1" showErrorMessage="1" promptTitle="Notice" prompt="This shows the percentage of the total budget represented by the entire BHSS component for the BHSA plan year(s) marked with an “x” on the left." sqref="R6" xr:uid="{5CE875D5-9FEE-45EA-A8EA-58B9E41F4AC2}"/>
    <dataValidation allowBlank="1" showInputMessage="1" showErrorMessage="1" promptTitle="Notice" prompt="This shows the percentage of the total budget represented by the entire HI component for the BHSA plan year(s) marked with an “x” on the left." sqref="T6" xr:uid="{E27DDA11-ACF4-4F19-AC62-C55ECEE9C3EF}"/>
    <dataValidation allowBlank="1" showInputMessage="1" showErrorMessage="1" promptTitle="Notice" prompt="This shows the target allocation as entered by the analyst on the Annual BHSA Revenues tab." sqref="P7 R7 T7" xr:uid="{A7F0DC04-0924-4C3C-89DC-CD50F8F0ED19}"/>
    <dataValidation allowBlank="1" showInputMessage="1" showErrorMessage="1" promptTitle="Notice" prompt="This shows the difference between the analyst’s budget input and the target budget. While the name implies a PR withdrawal/contribution to balance, it should be viewed as a guiding figure for counties to work toward alignment." sqref="P8 R8 T8" xr:uid="{C9D5FF8B-BA77-4F0A-A48F-E061E890E382}"/>
    <dataValidation allowBlank="1" showInputMessage="1" showErrorMessage="1" promptTitle="Notice" prompt="Use the rows below to select the BHSA plan year you would like summarized to the right. Enter “x” in the corresponding row to make your selection. Enter in multiple rows to view multiple years combined." sqref="J3" xr:uid="{667523E0-3D06-4DC5-BF31-F9E2CD8C6124}"/>
    <dataValidation allowBlank="1" showInputMessage="1" showErrorMessage="1" promptTitle="Notice" prompt="This Optional section is for the Fiscal Analyst to provide their thoughts on how to allocate into the BHSA categories.  It serves to document the process and track discussions between staff." sqref="E10" xr:uid="{0682F218-90F2-4485-AEFF-D90F363B544C}"/>
    <dataValidation allowBlank="1" showInputMessage="1" showErrorMessage="1" promptTitle="Notice" prompt="Same as the previous column, except this is for the Program Analyst." sqref="F10" xr:uid="{3EC02271-03A7-4A17-A507-4DA534AA036C}"/>
    <dataValidation type="list" allowBlank="1" showInputMessage="1" showErrorMessage="1" sqref="H11:H104" xr:uid="{13B3FCC0-A851-47F5-B42F-51E32180C09E}">
      <formula1>"Y,N"</formula1>
    </dataValidation>
  </dataValidations>
  <pageMargins left="0.7" right="0.7" top="0.75" bottom="0.75" header="0.3" footer="0.3"/>
  <pageSetup scale="22"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CA5515-4F55-4EBC-A24D-DA88AA5BC2A2}">
  <sheetPr>
    <tabColor theme="1"/>
  </sheetPr>
  <dimension ref="B1:S98"/>
  <sheetViews>
    <sheetView zoomScale="160" zoomScaleNormal="160" workbookViewId="0">
      <pane xSplit="1" ySplit="9" topLeftCell="B10" activePane="bottomRight" state="frozen"/>
      <selection pane="bottomRight" activeCell="B3" sqref="B3"/>
      <selection pane="bottomLeft" activeCell="A5" sqref="A5"/>
      <selection pane="topRight" activeCell="B1" sqref="B1"/>
    </sheetView>
  </sheetViews>
  <sheetFormatPr defaultRowHeight="15" outlineLevelCol="1"/>
  <cols>
    <col min="1" max="1" width="1.7109375" customWidth="1"/>
    <col min="2" max="2" width="13.42578125" customWidth="1"/>
    <col min="3" max="3" width="5.7109375" bestFit="1" customWidth="1"/>
    <col min="4" max="4" width="9.42578125" bestFit="1" customWidth="1"/>
    <col min="5" max="5" width="34.85546875" customWidth="1"/>
    <col min="6" max="6" width="49.5703125" customWidth="1"/>
    <col min="7" max="7" width="8.85546875" customWidth="1"/>
    <col min="8" max="8" width="11.7109375" bestFit="1" customWidth="1"/>
    <col min="9" max="9" width="11.5703125" bestFit="1" customWidth="1"/>
    <col min="10" max="13" width="11.140625" bestFit="1" customWidth="1"/>
    <col min="14" max="14" width="12.140625" bestFit="1" customWidth="1"/>
    <col min="15" max="15" width="11.28515625" customWidth="1"/>
    <col min="16" max="16" width="61.42578125" style="104" hidden="1" customWidth="1" outlineLevel="1"/>
    <col min="17" max="17" width="10.5703125" bestFit="1" customWidth="1" collapsed="1"/>
    <col min="18" max="18" width="10.140625" bestFit="1" customWidth="1"/>
    <col min="19" max="19" width="10.85546875" bestFit="1" customWidth="1"/>
  </cols>
  <sheetData>
    <row r="1" spans="2:19">
      <c r="I1" s="163" t="s">
        <v>79</v>
      </c>
      <c r="J1" s="163"/>
      <c r="K1" s="164"/>
      <c r="L1" s="163" t="s">
        <v>84</v>
      </c>
      <c r="M1" s="164"/>
      <c r="P1"/>
    </row>
    <row r="2" spans="2:19" ht="30">
      <c r="H2" s="162" t="s">
        <v>76</v>
      </c>
      <c r="I2" s="255" t="s">
        <v>111</v>
      </c>
      <c r="J2" s="255" t="s">
        <v>112</v>
      </c>
      <c r="K2" s="256" t="s">
        <v>113</v>
      </c>
      <c r="L2" s="255" t="s">
        <v>84</v>
      </c>
      <c r="M2" s="256" t="s">
        <v>114</v>
      </c>
      <c r="N2" s="165" t="s">
        <v>115</v>
      </c>
      <c r="P2"/>
    </row>
    <row r="3" spans="2:19">
      <c r="E3" s="294" t="s">
        <v>117</v>
      </c>
      <c r="F3" s="114"/>
      <c r="G3" s="116" t="s">
        <v>118</v>
      </c>
      <c r="H3" s="112">
        <f>Baseline!P4</f>
        <v>14181364.890000001</v>
      </c>
      <c r="I3" s="110">
        <f>Baseline!Q4</f>
        <v>3866824.4299999997</v>
      </c>
      <c r="J3" s="110">
        <f>Baseline!R4</f>
        <v>4999992.59</v>
      </c>
      <c r="K3" s="113">
        <f>Baseline!S4</f>
        <v>5314547.87</v>
      </c>
      <c r="L3" s="110">
        <f>Baseline!T4</f>
        <v>6077727.8100000005</v>
      </c>
      <c r="M3" s="113">
        <f>Baseline!U4</f>
        <v>6077727.8100000005</v>
      </c>
      <c r="N3" s="111">
        <f>Baseline!V4</f>
        <v>40518185.400000006</v>
      </c>
      <c r="P3"/>
    </row>
    <row r="4" spans="2:19">
      <c r="D4" s="276" t="s">
        <v>10</v>
      </c>
      <c r="E4" s="294"/>
      <c r="F4" s="117"/>
      <c r="G4" s="157" t="s">
        <v>119</v>
      </c>
      <c r="H4" s="169">
        <f>Baseline!P5</f>
        <v>0.35</v>
      </c>
      <c r="I4" s="160">
        <f>Baseline!Q5</f>
        <v>9.543429430084989E-2</v>
      </c>
      <c r="J4" s="160">
        <f>Baseline!R5</f>
        <v>0.12340119728066595</v>
      </c>
      <c r="K4" s="167">
        <f>Baseline!S5</f>
        <v>0.13116450841848409</v>
      </c>
      <c r="L4" s="160">
        <f>Baseline!T5</f>
        <v>0.15</v>
      </c>
      <c r="M4" s="167">
        <f>Baseline!U5</f>
        <v>0.15</v>
      </c>
      <c r="N4" s="161">
        <f>Baseline!V5</f>
        <v>1</v>
      </c>
      <c r="P4"/>
    </row>
    <row r="5" spans="2:19">
      <c r="D5" s="276" t="s">
        <v>13</v>
      </c>
      <c r="E5" s="294" t="s">
        <v>120</v>
      </c>
      <c r="F5" s="115"/>
      <c r="G5" s="116" t="s">
        <v>119</v>
      </c>
      <c r="H5" s="171">
        <f>Baseline!P6</f>
        <v>0.35</v>
      </c>
      <c r="I5" s="159">
        <f>Baseline!Q6</f>
        <v>0.34999999999999992</v>
      </c>
      <c r="J5" s="159"/>
      <c r="K5" s="168"/>
      <c r="L5" s="159">
        <f>Baseline!T6</f>
        <v>0.3</v>
      </c>
      <c r="M5" s="168"/>
      <c r="N5" s="107">
        <f>Baseline!V6</f>
        <v>1</v>
      </c>
      <c r="P5"/>
    </row>
    <row r="6" spans="2:19">
      <c r="D6" s="276" t="s">
        <v>16</v>
      </c>
      <c r="E6" s="294"/>
      <c r="F6" s="156"/>
      <c r="G6" s="157" t="str">
        <f>Baseline!O7</f>
        <v>Target Budget</v>
      </c>
      <c r="H6" s="171">
        <f>Baseline!P7</f>
        <v>0.35</v>
      </c>
      <c r="I6" s="159">
        <f>Baseline!Q7</f>
        <v>0.35</v>
      </c>
      <c r="J6" s="159"/>
      <c r="K6" s="168"/>
      <c r="L6" s="159">
        <f>Baseline!T7</f>
        <v>0.3</v>
      </c>
      <c r="M6" s="168"/>
      <c r="N6" s="107">
        <f>Baseline!V7</f>
        <v>1</v>
      </c>
      <c r="P6"/>
    </row>
    <row r="7" spans="2:19">
      <c r="E7" s="294"/>
      <c r="F7" s="155"/>
      <c r="G7" s="158" t="str">
        <f>Baseline!O8</f>
        <v>Over/Under Target Budget</v>
      </c>
      <c r="H7" s="284">
        <f>Baseline!P8</f>
        <v>-238552.21477682143</v>
      </c>
      <c r="I7" s="282">
        <f>Baseline!Q8</f>
        <v>-238552.21477682143</v>
      </c>
      <c r="J7" s="282"/>
      <c r="K7" s="283"/>
      <c r="L7" s="282">
        <f>Baseline!T8</f>
        <v>-204473.3269515615</v>
      </c>
      <c r="M7" s="283"/>
      <c r="N7" s="166">
        <f>Baseline!V8</f>
        <v>-681577.75650520436</v>
      </c>
      <c r="P7"/>
    </row>
    <row r="8" spans="2:19">
      <c r="H8" s="14" t="s">
        <v>123</v>
      </c>
      <c r="I8" s="15"/>
      <c r="J8" s="15"/>
      <c r="K8" s="15"/>
      <c r="L8" s="15"/>
      <c r="M8" s="16"/>
      <c r="N8" s="16"/>
    </row>
    <row r="9" spans="2:19" s="17" customFormat="1" ht="30">
      <c r="B9" s="18" t="s">
        <v>124</v>
      </c>
      <c r="C9" s="18" t="s">
        <v>125</v>
      </c>
      <c r="D9" s="18" t="s">
        <v>298</v>
      </c>
      <c r="E9" s="18" t="s">
        <v>126</v>
      </c>
      <c r="F9" s="18" t="s">
        <v>129</v>
      </c>
      <c r="G9" s="18" t="s">
        <v>130</v>
      </c>
      <c r="H9" s="18" t="s">
        <v>76</v>
      </c>
      <c r="I9" s="18" t="s">
        <v>111</v>
      </c>
      <c r="J9" s="18" t="s">
        <v>112</v>
      </c>
      <c r="K9" s="18" t="s">
        <v>113</v>
      </c>
      <c r="L9" s="18" t="s">
        <v>84</v>
      </c>
      <c r="M9" s="18" t="s">
        <v>114</v>
      </c>
      <c r="N9" s="18" t="s">
        <v>134</v>
      </c>
      <c r="O9" s="18"/>
      <c r="P9" s="106" t="s">
        <v>299</v>
      </c>
    </row>
    <row r="10" spans="2:19">
      <c r="B10" s="78" t="s">
        <v>182</v>
      </c>
      <c r="C10" t="s">
        <v>10</v>
      </c>
      <c r="D10" s="19" t="s">
        <v>145</v>
      </c>
      <c r="E10" t="s">
        <v>300</v>
      </c>
      <c r="F10" t="s">
        <v>301</v>
      </c>
      <c r="G10" s="19" t="s">
        <v>140</v>
      </c>
      <c r="H10" s="239">
        <v>0</v>
      </c>
      <c r="I10" s="239">
        <v>0</v>
      </c>
      <c r="J10" s="239">
        <v>0</v>
      </c>
      <c r="K10" s="239">
        <v>0</v>
      </c>
      <c r="L10" s="239">
        <v>175000</v>
      </c>
      <c r="M10" s="239">
        <v>175000</v>
      </c>
      <c r="N10" s="239">
        <f>SUM(Incremental[[#This Row],[FSP]:[Housing - Homeless]])</f>
        <v>350000</v>
      </c>
      <c r="O10" s="11"/>
      <c r="P10" s="105" t="str" cm="1">
        <f t="array" ref="P10:P78">_xlfn._xlws.SORT(_xlfn.UNIQUE(Baseline[Cost Center]))</f>
        <v>BHSA Administrative Support Consultant</v>
      </c>
    </row>
    <row r="11" spans="2:19">
      <c r="B11" t="s">
        <v>182</v>
      </c>
      <c r="C11" t="s">
        <v>10</v>
      </c>
      <c r="D11" s="19" t="s">
        <v>145</v>
      </c>
      <c r="E11" t="s">
        <v>302</v>
      </c>
      <c r="F11" t="s">
        <v>303</v>
      </c>
      <c r="G11" s="19" t="s">
        <v>140</v>
      </c>
      <c r="H11" s="239">
        <v>0</v>
      </c>
      <c r="I11" s="239">
        <v>0</v>
      </c>
      <c r="J11" s="239">
        <v>0</v>
      </c>
      <c r="K11" s="239">
        <v>0</v>
      </c>
      <c r="L11" s="239">
        <v>1741143.5</v>
      </c>
      <c r="M11" s="239">
        <v>1741143.5</v>
      </c>
      <c r="N11" s="239">
        <f>SUM(Incremental[[#This Row],[FSP]:[Housing - Homeless]])</f>
        <v>3482287</v>
      </c>
      <c r="O11" s="11"/>
      <c r="P11" s="105" t="str">
        <v>CalMHSA EHR</v>
      </c>
      <c r="Q11" s="225"/>
    </row>
    <row r="12" spans="2:19">
      <c r="B12" t="s">
        <v>182</v>
      </c>
      <c r="C12" t="s">
        <v>10</v>
      </c>
      <c r="D12" s="19" t="s">
        <v>145</v>
      </c>
      <c r="E12" t="s">
        <v>302</v>
      </c>
      <c r="F12" t="s">
        <v>304</v>
      </c>
      <c r="G12" s="19" t="s">
        <v>145</v>
      </c>
      <c r="H12" s="239">
        <v>0</v>
      </c>
      <c r="I12" s="239">
        <v>0</v>
      </c>
      <c r="J12" s="239">
        <v>0</v>
      </c>
      <c r="K12" s="239">
        <v>0</v>
      </c>
      <c r="L12" s="239">
        <v>-270513</v>
      </c>
      <c r="M12" s="239">
        <v>-270513</v>
      </c>
      <c r="N12" s="239">
        <f>SUM(Incremental[[#This Row],[FSP]:[Housing - Homeless]])</f>
        <v>-541026</v>
      </c>
      <c r="O12" s="11"/>
      <c r="P12" s="105" t="str">
        <v>CalMHSA Fiscal Empowerment</v>
      </c>
    </row>
    <row r="13" spans="2:19">
      <c r="B13" t="s">
        <v>182</v>
      </c>
      <c r="C13" t="s">
        <v>10</v>
      </c>
      <c r="D13" s="19" t="s">
        <v>145</v>
      </c>
      <c r="E13" t="s">
        <v>305</v>
      </c>
      <c r="F13" t="s">
        <v>76</v>
      </c>
      <c r="G13" s="19" t="s">
        <v>140</v>
      </c>
      <c r="H13" s="239">
        <v>2413321</v>
      </c>
      <c r="I13" s="239">
        <v>0</v>
      </c>
      <c r="J13" s="239">
        <v>0</v>
      </c>
      <c r="K13" s="239">
        <v>0</v>
      </c>
      <c r="L13" s="239">
        <v>0</v>
      </c>
      <c r="M13" s="239">
        <v>0</v>
      </c>
      <c r="N13" s="239">
        <f>SUM(Incremental[[#This Row],[FSP]:[Housing - Homeless]])</f>
        <v>2413321</v>
      </c>
      <c r="O13" s="11"/>
      <c r="P13" s="105" t="str">
        <v>CalMHSA PEI Statewide Prgm</v>
      </c>
      <c r="R13" s="239"/>
    </row>
    <row r="14" spans="2:19">
      <c r="B14" t="s">
        <v>182</v>
      </c>
      <c r="C14" t="s">
        <v>10</v>
      </c>
      <c r="D14" s="19" t="s">
        <v>145</v>
      </c>
      <c r="E14" t="s">
        <v>305</v>
      </c>
      <c r="F14" t="s">
        <v>213</v>
      </c>
      <c r="G14" s="19" t="s">
        <v>145</v>
      </c>
      <c r="H14" s="239">
        <v>-1532305</v>
      </c>
      <c r="I14" s="239">
        <v>0</v>
      </c>
      <c r="J14" s="239">
        <v>0</v>
      </c>
      <c r="K14" s="239">
        <v>0</v>
      </c>
      <c r="L14" s="239">
        <v>0</v>
      </c>
      <c r="M14" s="239">
        <v>0</v>
      </c>
      <c r="N14" s="239">
        <f>SUM(Incremental[[#This Row],[FSP]:[Housing - Homeless]])</f>
        <v>-1532305</v>
      </c>
      <c r="O14" s="11"/>
      <c r="P14" s="105" t="str">
        <v>CalMHSA Remote Supervision</v>
      </c>
      <c r="S14" s="239"/>
    </row>
    <row r="15" spans="2:19">
      <c r="B15" t="s">
        <v>182</v>
      </c>
      <c r="C15" t="s">
        <v>10</v>
      </c>
      <c r="D15" s="19" t="s">
        <v>145</v>
      </c>
      <c r="E15" t="s">
        <v>306</v>
      </c>
      <c r="F15" t="s">
        <v>76</v>
      </c>
      <c r="G15" s="19" t="s">
        <v>140</v>
      </c>
      <c r="H15" s="239">
        <v>545065</v>
      </c>
      <c r="I15" s="239">
        <v>0</v>
      </c>
      <c r="J15" s="239">
        <v>0</v>
      </c>
      <c r="K15" s="239">
        <v>0</v>
      </c>
      <c r="L15" s="239">
        <v>0</v>
      </c>
      <c r="M15" s="239">
        <v>0</v>
      </c>
      <c r="N15" s="239">
        <f>SUM(Incremental[[#This Row],[FSP]:[Housing - Homeless]])</f>
        <v>545065</v>
      </c>
      <c r="O15" s="11"/>
      <c r="P15" s="105" t="str">
        <v>CBO #1 Access Line</v>
      </c>
    </row>
    <row r="16" spans="2:19">
      <c r="B16" t="s">
        <v>97</v>
      </c>
      <c r="C16" t="s">
        <v>10</v>
      </c>
      <c r="D16" s="19" t="s">
        <v>145</v>
      </c>
      <c r="E16" t="s">
        <v>306</v>
      </c>
      <c r="F16" t="s">
        <v>213</v>
      </c>
      <c r="G16" s="19" t="s">
        <v>145</v>
      </c>
      <c r="H16" s="239">
        <v>-412856</v>
      </c>
      <c r="I16" s="239">
        <v>0</v>
      </c>
      <c r="J16" s="239">
        <v>0</v>
      </c>
      <c r="K16" s="239">
        <v>0</v>
      </c>
      <c r="L16" s="239">
        <v>0</v>
      </c>
      <c r="M16" s="239">
        <v>0</v>
      </c>
      <c r="N16" s="239">
        <f>SUM(Incremental[[#This Row],[FSP]:[Housing - Homeless]])</f>
        <v>-412856</v>
      </c>
      <c r="O16" s="11"/>
      <c r="P16" s="105" t="str">
        <v>CBO #1 Field-Based Outpatient</v>
      </c>
      <c r="S16" s="239"/>
    </row>
    <row r="17" spans="2:19">
      <c r="B17" t="s">
        <v>97</v>
      </c>
      <c r="C17" t="s">
        <v>10</v>
      </c>
      <c r="D17" s="19" t="s">
        <v>145</v>
      </c>
      <c r="E17" t="s">
        <v>307</v>
      </c>
      <c r="F17" t="s">
        <v>76</v>
      </c>
      <c r="G17" s="19" t="s">
        <v>140</v>
      </c>
      <c r="H17" s="239">
        <v>1376446</v>
      </c>
      <c r="I17" s="239">
        <v>0</v>
      </c>
      <c r="J17" s="239">
        <v>0</v>
      </c>
      <c r="K17" s="239">
        <v>0</v>
      </c>
      <c r="L17" s="239">
        <v>0</v>
      </c>
      <c r="M17" s="239">
        <v>0</v>
      </c>
      <c r="N17" s="239">
        <f>SUM(Incremental[[#This Row],[FSP]:[Housing - Homeless]])</f>
        <v>1376446</v>
      </c>
      <c r="O17" s="11"/>
      <c r="P17" s="105" t="str">
        <v>CBO #1 Flex Funding</v>
      </c>
    </row>
    <row r="18" spans="2:19">
      <c r="B18" t="s">
        <v>182</v>
      </c>
      <c r="C18" t="s">
        <v>10</v>
      </c>
      <c r="D18" s="19" t="s">
        <v>145</v>
      </c>
      <c r="E18" t="s">
        <v>307</v>
      </c>
      <c r="F18" t="s">
        <v>213</v>
      </c>
      <c r="G18" s="19" t="s">
        <v>145</v>
      </c>
      <c r="H18" s="239">
        <v>-1241593</v>
      </c>
      <c r="I18" s="239">
        <v>0</v>
      </c>
      <c r="J18" s="239">
        <v>0</v>
      </c>
      <c r="K18" s="239">
        <v>0</v>
      </c>
      <c r="L18" s="239">
        <v>0</v>
      </c>
      <c r="M18" s="239">
        <v>0</v>
      </c>
      <c r="N18" s="239">
        <f>SUM(Incremental[[#This Row],[FSP]:[Housing - Homeless]])</f>
        <v>-1241593</v>
      </c>
      <c r="O18" s="11"/>
      <c r="P18" s="105" t="str">
        <v>CBO #1 Mobile Crisis Treatment</v>
      </c>
      <c r="S18" s="239"/>
    </row>
    <row r="19" spans="2:19">
      <c r="B19" t="s">
        <v>182</v>
      </c>
      <c r="C19" t="s">
        <v>10</v>
      </c>
      <c r="D19" s="19" t="s">
        <v>145</v>
      </c>
      <c r="E19" t="s">
        <v>308</v>
      </c>
      <c r="F19" t="s">
        <v>76</v>
      </c>
      <c r="G19" s="19" t="s">
        <v>140</v>
      </c>
      <c r="H19" s="239">
        <v>1265826</v>
      </c>
      <c r="I19" s="239">
        <v>0</v>
      </c>
      <c r="J19" s="239">
        <v>0</v>
      </c>
      <c r="K19" s="239">
        <v>0</v>
      </c>
      <c r="L19" s="239">
        <v>0</v>
      </c>
      <c r="M19" s="239">
        <v>0</v>
      </c>
      <c r="N19" s="239">
        <f>SUM(Incremental[[#This Row],[FSP]:[Housing - Homeless]])</f>
        <v>1265826</v>
      </c>
      <c r="O19" s="11"/>
      <c r="P19" s="105" t="str">
        <v>CBO #1 Mobile Unit &amp; One Stop</v>
      </c>
    </row>
    <row r="20" spans="2:19">
      <c r="B20" t="s">
        <v>182</v>
      </c>
      <c r="C20" t="s">
        <v>10</v>
      </c>
      <c r="D20" s="19" t="s">
        <v>145</v>
      </c>
      <c r="E20" t="s">
        <v>308</v>
      </c>
      <c r="F20" t="s">
        <v>213</v>
      </c>
      <c r="G20" s="19" t="s">
        <v>145</v>
      </c>
      <c r="H20" s="239">
        <v>-1178736</v>
      </c>
      <c r="I20" s="239">
        <v>0</v>
      </c>
      <c r="J20" s="239">
        <v>0</v>
      </c>
      <c r="K20" s="239">
        <v>0</v>
      </c>
      <c r="L20" s="239">
        <v>0</v>
      </c>
      <c r="M20" s="239">
        <v>0</v>
      </c>
      <c r="N20" s="239">
        <f>SUM(Incremental[[#This Row],[FSP]:[Housing - Homeless]])</f>
        <v>-1178736</v>
      </c>
      <c r="O20" s="11"/>
      <c r="P20" s="105" t="str">
        <v>CBO #1 Wellness &amp; Recovery Center</v>
      </c>
      <c r="S20" s="239"/>
    </row>
    <row r="21" spans="2:19">
      <c r="B21" t="s">
        <v>97</v>
      </c>
      <c r="C21" t="s">
        <v>10</v>
      </c>
      <c r="D21" s="19" t="s">
        <v>145</v>
      </c>
      <c r="E21" t="s">
        <v>309</v>
      </c>
      <c r="F21" s="224" t="s">
        <v>310</v>
      </c>
      <c r="G21" s="19" t="s">
        <v>140</v>
      </c>
      <c r="H21" s="239">
        <v>0</v>
      </c>
      <c r="I21" s="239">
        <v>347681.49</v>
      </c>
      <c r="J21" s="239">
        <v>0</v>
      </c>
      <c r="K21" s="239">
        <v>0</v>
      </c>
      <c r="L21" s="239">
        <v>0</v>
      </c>
      <c r="M21" s="239">
        <v>0</v>
      </c>
      <c r="N21" s="239">
        <f>SUM(Incremental[[#This Row],[FSP]:[Housing - Homeless]])</f>
        <v>347681.49</v>
      </c>
      <c r="O21" s="11"/>
      <c r="P21" s="105" t="str">
        <v>CBO #2 Flex Funding</v>
      </c>
    </row>
    <row r="22" spans="2:19">
      <c r="B22" t="s">
        <v>97</v>
      </c>
      <c r="C22" t="s">
        <v>10</v>
      </c>
      <c r="D22" s="19" t="s">
        <v>145</v>
      </c>
      <c r="E22" t="s">
        <v>309</v>
      </c>
      <c r="F22" s="224" t="s">
        <v>213</v>
      </c>
      <c r="G22" s="19" t="s">
        <v>145</v>
      </c>
      <c r="H22" s="239">
        <v>0</v>
      </c>
      <c r="I22" s="239">
        <v>-577145</v>
      </c>
      <c r="J22" s="239">
        <v>0</v>
      </c>
      <c r="K22" s="239">
        <v>0</v>
      </c>
      <c r="L22" s="239">
        <v>0</v>
      </c>
      <c r="M22" s="239">
        <v>0</v>
      </c>
      <c r="N22" s="239">
        <f>SUM(Incremental[[#This Row],[FSP]:[Housing - Homeless]])</f>
        <v>-577145</v>
      </c>
      <c r="O22" s="11"/>
      <c r="P22" s="105" t="str">
        <v>CBO #2 Mobile Unit &amp; One Stop</v>
      </c>
    </row>
    <row r="23" spans="2:19">
      <c r="B23" t="s">
        <v>97</v>
      </c>
      <c r="C23" t="s">
        <v>10</v>
      </c>
      <c r="D23" s="19" t="s">
        <v>145</v>
      </c>
      <c r="E23" t="s">
        <v>311</v>
      </c>
      <c r="F23" t="s">
        <v>312</v>
      </c>
      <c r="G23" s="19" t="s">
        <v>140</v>
      </c>
      <c r="H23" s="239">
        <v>0</v>
      </c>
      <c r="I23" s="239">
        <v>237051</v>
      </c>
      <c r="J23" s="239">
        <v>0</v>
      </c>
      <c r="K23" s="239">
        <v>600000</v>
      </c>
      <c r="L23" s="239">
        <v>193603</v>
      </c>
      <c r="M23" s="239">
        <v>193603</v>
      </c>
      <c r="N23" s="239">
        <f>SUM(Incremental[[#This Row],[FSP]:[Housing - Homeless]])</f>
        <v>1224257</v>
      </c>
      <c r="O23" s="11"/>
      <c r="P23" s="105" t="str">
        <v>CBO #3 Flex Funding</v>
      </c>
    </row>
    <row r="24" spans="2:19">
      <c r="B24" t="s">
        <v>97</v>
      </c>
      <c r="C24" t="s">
        <v>10</v>
      </c>
      <c r="D24" s="19" t="s">
        <v>145</v>
      </c>
      <c r="E24" t="s">
        <v>311</v>
      </c>
      <c r="F24" t="s">
        <v>312</v>
      </c>
      <c r="G24" s="19" t="s">
        <v>145</v>
      </c>
      <c r="H24" s="239">
        <v>0</v>
      </c>
      <c r="I24" s="239">
        <v>-28805</v>
      </c>
      <c r="J24" s="239">
        <v>0</v>
      </c>
      <c r="K24" s="239">
        <v>0</v>
      </c>
      <c r="L24" s="239">
        <v>0</v>
      </c>
      <c r="M24" s="239">
        <v>0</v>
      </c>
      <c r="N24" s="239">
        <f>SUM(Incremental[[#This Row],[FSP]:[Housing - Homeless]])</f>
        <v>-28805</v>
      </c>
      <c r="O24" s="11"/>
      <c r="P24" s="105" t="str">
        <v>CBO #4 - Outpatient Children's Services</v>
      </c>
    </row>
    <row r="25" spans="2:19">
      <c r="B25" t="s">
        <v>97</v>
      </c>
      <c r="C25" t="s">
        <v>10</v>
      </c>
      <c r="D25" s="19" t="s">
        <v>145</v>
      </c>
      <c r="E25" t="s">
        <v>313</v>
      </c>
      <c r="F25" t="s">
        <v>314</v>
      </c>
      <c r="G25" s="19" t="s">
        <v>140</v>
      </c>
      <c r="H25" s="239">
        <v>5289500</v>
      </c>
      <c r="I25" s="239">
        <v>0</v>
      </c>
      <c r="J25" s="239">
        <v>0</v>
      </c>
      <c r="K25" s="239">
        <v>0</v>
      </c>
      <c r="L25" s="239">
        <v>0</v>
      </c>
      <c r="M25" s="239">
        <v>0</v>
      </c>
      <c r="N25" s="239">
        <f>SUM(Incremental[[#This Row],[FSP]:[Housing - Homeless]])</f>
        <v>5289500</v>
      </c>
      <c r="O25" s="11"/>
      <c r="P25" s="105" t="str">
        <v>CBO #4 Child &amp; Family Interaction</v>
      </c>
    </row>
    <row r="26" spans="2:19">
      <c r="B26" t="s">
        <v>97</v>
      </c>
      <c r="C26" t="s">
        <v>10</v>
      </c>
      <c r="D26" s="19" t="s">
        <v>145</v>
      </c>
      <c r="E26" t="s">
        <v>313</v>
      </c>
      <c r="F26" t="s">
        <v>213</v>
      </c>
      <c r="G26" s="19" t="s">
        <v>145</v>
      </c>
      <c r="H26" s="239">
        <v>-3043037</v>
      </c>
      <c r="I26" s="239">
        <v>0</v>
      </c>
      <c r="J26" s="239">
        <v>0</v>
      </c>
      <c r="K26" s="239">
        <v>0</v>
      </c>
      <c r="L26" s="239">
        <v>0</v>
      </c>
      <c r="M26" s="239">
        <v>0</v>
      </c>
      <c r="N26" s="239">
        <f>SUM(Incremental[[#This Row],[FSP]:[Housing - Homeless]])</f>
        <v>-3043037</v>
      </c>
      <c r="O26" s="11"/>
      <c r="P26" s="105" t="str">
        <v>CBO #4 Maternal Support Program</v>
      </c>
    </row>
    <row r="27" spans="2:19">
      <c r="B27" t="s">
        <v>182</v>
      </c>
      <c r="C27" t="s">
        <v>10</v>
      </c>
      <c r="D27" s="19" t="s">
        <v>140</v>
      </c>
      <c r="E27" t="s">
        <v>141</v>
      </c>
      <c r="F27" t="s">
        <v>315</v>
      </c>
      <c r="G27" s="19" t="s">
        <v>140</v>
      </c>
      <c r="H27" s="239">
        <v>8724406</v>
      </c>
      <c r="I27" s="239">
        <v>0</v>
      </c>
      <c r="J27" s="239">
        <v>0</v>
      </c>
      <c r="K27" s="239">
        <v>0</v>
      </c>
      <c r="L27" s="239">
        <v>0</v>
      </c>
      <c r="M27" s="239">
        <v>0</v>
      </c>
      <c r="N27" s="239">
        <f>SUM(Incremental[[#This Row],[FSP]:[Housing - Homeless]])</f>
        <v>8724406</v>
      </c>
      <c r="O27" s="11"/>
      <c r="P27" s="105" t="str">
        <v>CBO #5 Supported Employment</v>
      </c>
    </row>
    <row r="28" spans="2:19">
      <c r="B28" t="s">
        <v>182</v>
      </c>
      <c r="C28" t="s">
        <v>10</v>
      </c>
      <c r="D28" s="19" t="s">
        <v>140</v>
      </c>
      <c r="E28" t="s">
        <v>141</v>
      </c>
      <c r="F28" t="s">
        <v>316</v>
      </c>
      <c r="G28" s="19" t="s">
        <v>145</v>
      </c>
      <c r="H28" s="239">
        <v>-4646554</v>
      </c>
      <c r="I28" s="239">
        <v>0</v>
      </c>
      <c r="J28" s="239">
        <v>0</v>
      </c>
      <c r="K28" s="239">
        <v>0</v>
      </c>
      <c r="L28" s="239">
        <v>0</v>
      </c>
      <c r="M28" s="239">
        <v>0</v>
      </c>
      <c r="N28" s="239">
        <f>SUM(Incremental[[#This Row],[FSP]:[Housing - Homeless]])</f>
        <v>-4646554</v>
      </c>
      <c r="O28" s="11"/>
      <c r="P28" s="105" t="str">
        <v>CBO #5 Youth Outreach</v>
      </c>
    </row>
    <row r="29" spans="2:19">
      <c r="B29" t="s">
        <v>182</v>
      </c>
      <c r="C29" t="s">
        <v>10</v>
      </c>
      <c r="D29" s="19" t="s">
        <v>145</v>
      </c>
      <c r="E29" t="s">
        <v>317</v>
      </c>
      <c r="F29" t="s">
        <v>318</v>
      </c>
      <c r="G29" s="19" t="s">
        <v>140</v>
      </c>
      <c r="H29" s="239">
        <v>1924001</v>
      </c>
      <c r="I29" s="239">
        <v>0</v>
      </c>
      <c r="J29" s="239">
        <v>0</v>
      </c>
      <c r="K29" s="239">
        <v>0</v>
      </c>
      <c r="L29" s="239">
        <v>0</v>
      </c>
      <c r="M29" s="239">
        <v>0</v>
      </c>
      <c r="N29" s="239">
        <f>SUM(Incremental[[#This Row],[FSP]:[Housing - Homeless]])</f>
        <v>1924001</v>
      </c>
      <c r="O29" s="11"/>
      <c r="P29" s="104" t="str">
        <v>CBO Adult Outreach</v>
      </c>
    </row>
    <row r="30" spans="2:19">
      <c r="B30" t="s">
        <v>182</v>
      </c>
      <c r="C30" t="s">
        <v>10</v>
      </c>
      <c r="D30" s="19" t="s">
        <v>145</v>
      </c>
      <c r="E30" t="s">
        <v>317</v>
      </c>
      <c r="F30" t="s">
        <v>319</v>
      </c>
      <c r="G30" s="19" t="s">
        <v>145</v>
      </c>
      <c r="H30" s="239">
        <v>-1685420</v>
      </c>
      <c r="I30" s="239">
        <v>0</v>
      </c>
      <c r="J30" s="239">
        <v>0</v>
      </c>
      <c r="K30" s="239">
        <v>0</v>
      </c>
      <c r="L30" s="239">
        <v>0</v>
      </c>
      <c r="M30" s="239">
        <v>0</v>
      </c>
      <c r="N30" s="239">
        <f>SUM(Incremental[[#This Row],[FSP]:[Housing - Homeless]])</f>
        <v>-1685420</v>
      </c>
      <c r="O30" s="11"/>
      <c r="P30" s="104" t="str">
        <v>CBO Augmented Board &amp; Care</v>
      </c>
    </row>
    <row r="31" spans="2:19">
      <c r="B31" t="s">
        <v>182</v>
      </c>
      <c r="C31" t="s">
        <v>10</v>
      </c>
      <c r="D31" s="19" t="s">
        <v>140</v>
      </c>
      <c r="E31" t="s">
        <v>244</v>
      </c>
      <c r="F31" t="s">
        <v>320</v>
      </c>
      <c r="G31" s="19" t="s">
        <v>145</v>
      </c>
      <c r="H31" s="239">
        <v>0</v>
      </c>
      <c r="I31" s="239">
        <v>0</v>
      </c>
      <c r="J31" s="239">
        <v>-37380</v>
      </c>
      <c r="K31" s="239">
        <v>-69420</v>
      </c>
      <c r="L31" s="239">
        <v>0</v>
      </c>
      <c r="M31" s="239">
        <v>0</v>
      </c>
      <c r="N31" s="239">
        <f>SUM(Incremental[[#This Row],[FSP]:[Housing - Homeless]])</f>
        <v>-106800</v>
      </c>
      <c r="O31" s="11"/>
      <c r="P31" s="104" t="str">
        <v>CBO Board and Care</v>
      </c>
    </row>
    <row r="32" spans="2:19">
      <c r="B32" t="s">
        <v>182</v>
      </c>
      <c r="C32" t="s">
        <v>10</v>
      </c>
      <c r="D32" s="19" t="s">
        <v>140</v>
      </c>
      <c r="E32" t="s">
        <v>251</v>
      </c>
      <c r="F32" t="s">
        <v>321</v>
      </c>
      <c r="G32" s="19" t="s">
        <v>140</v>
      </c>
      <c r="H32" s="239">
        <v>125000</v>
      </c>
      <c r="I32" s="239">
        <v>0</v>
      </c>
      <c r="J32" s="239">
        <v>0</v>
      </c>
      <c r="K32" s="239">
        <v>0</v>
      </c>
      <c r="L32" s="239">
        <v>0</v>
      </c>
      <c r="M32" s="239">
        <v>0</v>
      </c>
      <c r="N32" s="239">
        <f>SUM(Incremental[[#This Row],[FSP]:[Housing - Homeless]])</f>
        <v>125000</v>
      </c>
      <c r="O32" s="11"/>
      <c r="P32" s="104" t="str">
        <v>CBO Equine Therapy, Non Billable</v>
      </c>
    </row>
    <row r="33" spans="2:18">
      <c r="B33" t="s">
        <v>182</v>
      </c>
      <c r="C33" t="s">
        <v>10</v>
      </c>
      <c r="D33" s="19" t="s">
        <v>140</v>
      </c>
      <c r="E33" t="s">
        <v>251</v>
      </c>
      <c r="F33" t="s">
        <v>322</v>
      </c>
      <c r="G33" s="19" t="s">
        <v>145</v>
      </c>
      <c r="H33" s="239">
        <v>-264434</v>
      </c>
      <c r="I33" s="239">
        <v>0</v>
      </c>
      <c r="J33" s="239">
        <v>0</v>
      </c>
      <c r="K33" s="239">
        <v>0</v>
      </c>
      <c r="L33" s="239">
        <v>0</v>
      </c>
      <c r="M33" s="239">
        <v>0</v>
      </c>
      <c r="N33" s="239">
        <f>SUM(Incremental[[#This Row],[FSP]:[Housing - Homeless]])</f>
        <v>-264434</v>
      </c>
      <c r="O33" s="11"/>
      <c r="P33" s="104" t="str">
        <v>CBO General Outreach</v>
      </c>
    </row>
    <row r="34" spans="2:18">
      <c r="B34" t="s">
        <v>97</v>
      </c>
      <c r="C34" t="s">
        <v>10</v>
      </c>
      <c r="D34" s="19" t="s">
        <v>145</v>
      </c>
      <c r="E34" t="s">
        <v>323</v>
      </c>
      <c r="F34" t="s">
        <v>324</v>
      </c>
      <c r="G34" s="19" t="s">
        <v>140</v>
      </c>
      <c r="H34" s="287">
        <v>0.33</v>
      </c>
      <c r="I34" s="287">
        <v>0</v>
      </c>
      <c r="J34" s="287">
        <v>0</v>
      </c>
      <c r="K34" s="287">
        <v>0</v>
      </c>
      <c r="L34" s="287">
        <v>0.02</v>
      </c>
      <c r="M34" s="287">
        <v>0.02</v>
      </c>
      <c r="N34" s="239">
        <f>SUM(Incremental[[#This Row],[FSP]:[Housing - Homeless]])</f>
        <v>0.37000000000000005</v>
      </c>
      <c r="O34" s="11"/>
      <c r="P34" s="104" t="str">
        <v>CBO Group Therapy, Non Billable</v>
      </c>
    </row>
    <row r="35" spans="2:18">
      <c r="B35" t="s">
        <v>97</v>
      </c>
      <c r="C35" t="s">
        <v>13</v>
      </c>
      <c r="D35" s="19" t="s">
        <v>140</v>
      </c>
      <c r="E35" s="277" t="s">
        <v>141</v>
      </c>
      <c r="F35" t="s">
        <v>325</v>
      </c>
      <c r="G35" s="19" t="s">
        <v>140</v>
      </c>
      <c r="H35" s="239"/>
      <c r="I35" s="239"/>
      <c r="J35" s="239"/>
      <c r="K35" s="239">
        <f>-405182*IF(R35="Off",0,1)</f>
        <v>0</v>
      </c>
      <c r="L35" s="239"/>
      <c r="M35" s="239"/>
      <c r="N35" s="239">
        <f>SUM(Incremental[[#This Row],[FSP]:[Housing - Homeless]])</f>
        <v>0</v>
      </c>
      <c r="O35" s="11"/>
      <c r="P35" s="104" t="str">
        <v>CBO Prevention Program</v>
      </c>
      <c r="R35" t="s">
        <v>326</v>
      </c>
    </row>
    <row r="36" spans="2:18">
      <c r="B36" t="s">
        <v>97</v>
      </c>
      <c r="C36" t="s">
        <v>13</v>
      </c>
      <c r="D36" s="19" t="s">
        <v>140</v>
      </c>
      <c r="E36" s="277" t="s">
        <v>141</v>
      </c>
      <c r="F36" t="s">
        <v>327</v>
      </c>
      <c r="G36" s="19" t="s">
        <v>140</v>
      </c>
      <c r="H36" s="239"/>
      <c r="I36" s="239"/>
      <c r="J36" s="239">
        <f>-405182/2*IF(R36="Off",0,1)</f>
        <v>-202591</v>
      </c>
      <c r="K36" s="239">
        <f>-405182/2*IF(R36="Off",0,1)</f>
        <v>-202591</v>
      </c>
      <c r="L36" s="239"/>
      <c r="M36" s="239"/>
      <c r="N36" s="239">
        <f>SUM(Incremental[[#This Row],[FSP]:[Housing - Homeless]])</f>
        <v>-405182</v>
      </c>
      <c r="O36" s="11"/>
      <c r="P36" s="104" t="str">
        <v>CBO Suicide Prevention Vouchers</v>
      </c>
      <c r="R36" t="s">
        <v>328</v>
      </c>
    </row>
    <row r="37" spans="2:18">
      <c r="B37" t="s">
        <v>97</v>
      </c>
      <c r="C37" t="s">
        <v>13</v>
      </c>
      <c r="D37" s="19" t="s">
        <v>145</v>
      </c>
      <c r="E37" t="s">
        <v>329</v>
      </c>
      <c r="F37" t="s">
        <v>330</v>
      </c>
      <c r="G37" s="19" t="s">
        <v>140</v>
      </c>
      <c r="H37" s="239"/>
      <c r="I37" s="239"/>
      <c r="J37" s="239"/>
      <c r="K37" s="239"/>
      <c r="L37" s="239">
        <f>10000000*IF(R37="Off",0,1)</f>
        <v>0</v>
      </c>
      <c r="M37" s="239"/>
      <c r="N37" s="239">
        <f>SUM(Incremental[[#This Row],[FSP]:[Housing - Homeless]])</f>
        <v>0</v>
      </c>
      <c r="O37" s="11"/>
      <c r="P37" s="104" t="str">
        <v>CBO Youth Early Intervention Program</v>
      </c>
      <c r="R37" t="s">
        <v>326</v>
      </c>
    </row>
    <row r="38" spans="2:18">
      <c r="N38" s="11"/>
      <c r="O38" s="11"/>
      <c r="P38" s="104" t="str">
        <v>Client Housing &amp; Housing Supports</v>
      </c>
    </row>
    <row r="39" spans="2:18">
      <c r="N39" s="11"/>
      <c r="O39" s="11"/>
      <c r="P39" s="104" t="str">
        <v>Cnty General Outreach</v>
      </c>
    </row>
    <row r="40" spans="2:18">
      <c r="N40" s="11"/>
      <c r="O40" s="11"/>
      <c r="P40" s="104" t="str">
        <v>Cnty Housing Site Security Services</v>
      </c>
    </row>
    <row r="41" spans="2:18">
      <c r="N41" s="11"/>
      <c r="O41" s="11"/>
      <c r="P41" s="104" t="str">
        <v>Cnty Wellness &amp; Recovery Center</v>
      </c>
    </row>
    <row r="42" spans="2:18">
      <c r="O42" s="11"/>
      <c r="P42" s="104" t="str">
        <v>Community Planning Consultant</v>
      </c>
    </row>
    <row r="43" spans="2:18">
      <c r="O43" s="11"/>
      <c r="P43" s="104" t="str">
        <v>County Admin Bldg Security Services</v>
      </c>
    </row>
    <row r="44" spans="2:18">
      <c r="O44" s="11"/>
      <c r="P44" s="104" t="str">
        <v>County Clinic Site Alarm Service</v>
      </c>
    </row>
    <row r="45" spans="2:18">
      <c r="O45" s="11"/>
      <c r="P45" s="104" t="str">
        <v>County Clinic Site Security</v>
      </c>
    </row>
    <row r="46" spans="2:18">
      <c r="O46" s="11"/>
      <c r="P46" s="104" t="str">
        <v>County Clinics</v>
      </c>
    </row>
    <row r="47" spans="2:18">
      <c r="O47" s="11"/>
      <c r="P47" s="104" t="str">
        <v>County Office of Ed, Children Outreach/Early Intervention</v>
      </c>
    </row>
    <row r="48" spans="2:18">
      <c r="O48" s="11"/>
      <c r="P48" s="104" t="str">
        <v>County Office of Ed, Children's Early Intervention</v>
      </c>
    </row>
    <row r="49" spans="15:16">
      <c r="O49" s="11"/>
      <c r="P49" s="104" t="str">
        <v>County Office of Ed, Children's Primary Prevention</v>
      </c>
    </row>
    <row r="50" spans="15:16">
      <c r="O50" s="11"/>
      <c r="P50" s="104" t="str">
        <v>County Office of Ed. Prevention Program</v>
      </c>
    </row>
    <row r="51" spans="15:16">
      <c r="O51" s="11"/>
      <c r="P51" s="104" t="str">
        <v>Equine Therapy Sponsorships</v>
      </c>
    </row>
    <row r="52" spans="15:16">
      <c r="O52" s="11"/>
      <c r="P52" s="104" t="str">
        <v>FSP Client Bus Passes</v>
      </c>
    </row>
    <row r="53" spans="15:16">
      <c r="O53" s="11"/>
      <c r="P53" s="104" t="str">
        <v>FSP Participant Housing Supports</v>
      </c>
    </row>
    <row r="54" spans="15:16">
      <c r="O54" s="11"/>
      <c r="P54" s="104" t="str">
        <v>In Home Parent Education, Non Billable</v>
      </c>
    </row>
    <row r="55" spans="15:16">
      <c r="O55" s="11"/>
      <c r="P55" s="104" t="str">
        <v>Letter to File within HHSA #1</v>
      </c>
    </row>
    <row r="56" spans="15:16">
      <c r="O56" s="11"/>
      <c r="P56" s="104" t="str">
        <v>Letter to File within HHSA #2</v>
      </c>
    </row>
    <row r="57" spans="15:16">
      <c r="O57" s="11"/>
      <c r="P57" s="104" t="str">
        <v>Letter to File within HHSA #3</v>
      </c>
    </row>
    <row r="58" spans="15:16">
      <c r="O58" s="11"/>
      <c r="P58" s="104" t="str">
        <v>Letter to File within HHSA #4</v>
      </c>
    </row>
    <row r="59" spans="15:16">
      <c r="O59" s="11"/>
      <c r="P59" s="104" t="str">
        <v>MHSA Administration Cost Center</v>
      </c>
    </row>
    <row r="60" spans="15:16">
      <c r="O60" s="11"/>
      <c r="P60" s="104" t="str">
        <v>MHSA CFTN</v>
      </c>
    </row>
    <row r="61" spans="15:16">
      <c r="O61" s="11"/>
      <c r="P61" s="104" t="str">
        <v>MHSA CFTN Project #1</v>
      </c>
    </row>
    <row r="62" spans="15:16">
      <c r="O62" s="11"/>
      <c r="P62" s="104" t="str">
        <v>MHSA CFTN Project #2</v>
      </c>
    </row>
    <row r="63" spans="15:16">
      <c r="O63" s="11"/>
      <c r="P63" s="104" t="str">
        <v>MHSA Community Event(s) Program</v>
      </c>
    </row>
    <row r="64" spans="15:16">
      <c r="O64" s="11"/>
      <c r="P64" s="104" t="str">
        <v>MHSA Consultant</v>
      </c>
    </row>
    <row r="65" spans="15:16">
      <c r="O65" s="11"/>
      <c r="P65" s="104" t="str">
        <v>MHSA INN Project #1</v>
      </c>
    </row>
    <row r="66" spans="15:16">
      <c r="O66" s="11"/>
      <c r="P66" s="104" t="str">
        <v>MHSA INN Project #2</v>
      </c>
    </row>
    <row r="67" spans="15:16">
      <c r="O67" s="11"/>
      <c r="P67" s="104" t="str">
        <v>MHSA Prevention &amp; Early Intervention</v>
      </c>
    </row>
    <row r="68" spans="15:16">
      <c r="O68" s="11"/>
      <c r="P68" s="104" t="str">
        <v>MHSA WET Cost Center</v>
      </c>
    </row>
    <row r="69" spans="15:16">
      <c r="O69" s="11"/>
      <c r="P69" s="104" t="str">
        <v>MHSA/BHSA Consultant</v>
      </c>
    </row>
    <row r="70" spans="15:16">
      <c r="O70" s="11"/>
      <c r="P70" s="104" t="str">
        <v>MOU with the Superior Courts</v>
      </c>
    </row>
    <row r="71" spans="15:16">
      <c r="O71" s="11"/>
      <c r="P71" s="104" t="str">
        <v>Outreach Event(s) Program</v>
      </c>
    </row>
    <row r="72" spans="15:16">
      <c r="O72" s="11"/>
      <c r="P72" s="104" t="str">
        <v>PATH Grant Match</v>
      </c>
    </row>
    <row r="73" spans="15:16">
      <c r="O73" s="11"/>
      <c r="P73" s="104" t="str">
        <v>Senior Outreach Program</v>
      </c>
    </row>
    <row r="74" spans="15:16">
      <c r="O74" s="11"/>
      <c r="P74" s="104" t="str">
        <v>Training Software</v>
      </c>
    </row>
    <row r="75" spans="15:16">
      <c r="O75" s="11"/>
      <c r="P75" s="104" t="str">
        <v>Transitional Housing Lease &amp; Client Rent Support</v>
      </c>
    </row>
    <row r="76" spans="15:16">
      <c r="O76" s="11"/>
      <c r="P76" s="104" t="str">
        <v>Wellness Center Security Services (C. Cnty)</v>
      </c>
    </row>
    <row r="77" spans="15:16">
      <c r="O77" s="11"/>
      <c r="P77" s="104" t="str">
        <v>Wellness Center Security Services (N. Cnty)</v>
      </c>
    </row>
    <row r="78" spans="15:16">
      <c r="O78" s="11"/>
      <c r="P78" s="104" t="str">
        <v>Wellness Center Security Services (S. Cnty)</v>
      </c>
    </row>
    <row r="79" spans="15:16">
      <c r="O79" s="11"/>
    </row>
    <row r="80" spans="15:16">
      <c r="O80" s="11"/>
    </row>
    <row r="81" spans="15:15">
      <c r="O81" s="11"/>
    </row>
    <row r="82" spans="15:15">
      <c r="O82" s="11"/>
    </row>
    <row r="83" spans="15:15">
      <c r="O83" s="11"/>
    </row>
    <row r="84" spans="15:15">
      <c r="O84" s="11"/>
    </row>
    <row r="85" spans="15:15">
      <c r="O85" s="11"/>
    </row>
    <row r="86" spans="15:15">
      <c r="O86" s="11"/>
    </row>
    <row r="87" spans="15:15">
      <c r="O87" s="11"/>
    </row>
    <row r="88" spans="15:15">
      <c r="O88" s="11"/>
    </row>
    <row r="89" spans="15:15">
      <c r="O89" s="11"/>
    </row>
    <row r="90" spans="15:15">
      <c r="O90" s="11"/>
    </row>
    <row r="91" spans="15:15">
      <c r="O91" s="11"/>
    </row>
    <row r="92" spans="15:15">
      <c r="O92" s="11"/>
    </row>
    <row r="93" spans="15:15">
      <c r="O93" s="11"/>
    </row>
    <row r="94" spans="15:15">
      <c r="O94" s="11"/>
    </row>
    <row r="95" spans="15:15">
      <c r="O95" s="11"/>
    </row>
    <row r="96" spans="15:15">
      <c r="O96" s="11"/>
    </row>
    <row r="97" spans="15:15">
      <c r="O97" s="11"/>
    </row>
    <row r="98" spans="15:15">
      <c r="O98" s="11"/>
    </row>
  </sheetData>
  <mergeCells count="2">
    <mergeCell ref="E3:E4"/>
    <mergeCell ref="E5:E7"/>
  </mergeCells>
  <phoneticPr fontId="6" type="noConversion"/>
  <conditionalFormatting sqref="E10:E37">
    <cfRule type="expression" dxfId="10" priority="4">
      <formula>AND(D10="N",ISERROR(_xlfn.XLOOKUP(E10,_xlfn.ANCHORARRAY($P$10),_xlfn.ANCHORARRAY($P$10))))</formula>
    </cfRule>
  </conditionalFormatting>
  <dataValidations xWindow="1737" yWindow="602" count="12">
    <dataValidation allowBlank="1" showInputMessage="1" showErrorMessage="1" promptTitle="Notice" prompt="Enter if the activity is run by the county or a contracted provider (CBO). This field isn’t critical for the tool but can be repurposed, e.g., for BH CoC category or another identifier." sqref="B9" xr:uid="{F6B11803-6846-4698-A1D2-BBE16ECC47E7}"/>
    <dataValidation allowBlank="1" showInputMessage="1" showErrorMessage="1" promptTitle="Notice" prompt="Enter the BHSA Plan Year for this budget activity. Note: Baseline tab entries will automatically increase by the % factor from the Annual BHSA Revenues tab. These activities will not, so include inflation in your entry." sqref="C9" xr:uid="{5FBF4A45-7D23-477B-9DAA-425BA15B7206}"/>
    <dataValidation allowBlank="1" showInputMessage="1" showErrorMessage="1" promptTitle="Notice" prompt="Enter “Y” if this is a new activity for the county or transferred from another funding stream to BHSA. Enter “N” if the activity was also on the Baseline tab and this entry modifies the original." sqref="D9" xr:uid="{683EF509-BA3E-4D59-8C3B-C3B5BD4EE852}"/>
    <dataValidation allowBlank="1" showInputMessage="1" showErrorMessage="1" promptTitle="Notice" prompt="Enter the name of the activity.  NOTE: If you selected “N” in the New Cost Center column, the name entered here must exactly match the activity name on the Baseline tab. Otherwise, the entry will be highlighted in red." sqref="E9" xr:uid="{DE8FA00C-61BA-4FEE-88C1-9DC59F217737}"/>
    <dataValidation allowBlank="1" showInputMessage="1" showErrorMessage="1" promptTitle="Notice" prompt="Add a comment describing the activity and explaining how it aligns with the BHSA component for which you are budgeting. This comment should be suitable for presentation to management._x000a__x000a_" sqref="F9" xr:uid="{9DD15941-5016-454D-B6EE-93B875661CC2}"/>
    <dataValidation allowBlank="1" showInputMessage="1" showErrorMessage="1" promptTitle="Notice" prompt="Enter “Y” if the activity is revenue or “N” if it’s an expense. Example: for billable activities that offset BHSA expenses, enter “N” and then add another record directly below with the same activity name marked as “Y.&quot;" sqref="G9" xr:uid="{827EEF22-7FB7-411C-A5AF-48B7AB6C70B7}"/>
    <dataValidation allowBlank="1" showInputMessage="1" showErrorMessage="1" promptTitle="Notice" prompt="Enter the portion of the activity budget allocated to this BHSA component or subcomponent. Record all expenses as positive values and any offsetting revenue as negative values." sqref="H9:M9" xr:uid="{FE85DA34-8188-4B4D-9350-0A98E60CB069}"/>
    <dataValidation allowBlank="1" showInputMessage="1" showErrorMessage="1" promptTitle="Notice" prompt="No entry required; this field is auto-calculated." sqref="N9" xr:uid="{0ABB1AFF-EADE-4B77-83CB-98CD17F7F137}"/>
    <dataValidation allowBlank="1" showInputMessage="1" showErrorMessage="1" promptTitle="Notice" prompt="No entry required. This field serves as a reference for the logic built into the Cost Center column in the table to the left. Maintaining a consistent naming convention for activities is good data hygiene and will support accurate analysis in the future." sqref="P9" xr:uid="{7F9E3629-01F2-44AF-B089-A7C72A33B258}"/>
    <dataValidation type="list" allowBlank="1" showInputMessage="1" showErrorMessage="1" sqref="G10:G37 D10:D37" xr:uid="{3843800B-1688-4BDC-9A18-689DC0DDCBC1}">
      <formula1>"Y,N"</formula1>
    </dataValidation>
    <dataValidation type="list" allowBlank="1" showInputMessage="1" showErrorMessage="1" sqref="C10:C37" xr:uid="{FFC76AF2-A2F0-4738-A827-5952826AC01A}">
      <formula1>$D$4:$D$6</formula1>
    </dataValidation>
    <dataValidation type="list" allowBlank="1" showInputMessage="1" showErrorMessage="1" sqref="R35:R37" xr:uid="{263E66B3-AD8C-4BAB-A34A-B284C4378C5F}">
      <formula1>"On,Off"</formula1>
    </dataValidation>
  </dataValidations>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F23AE-F1E5-4CA7-BAA7-8DA210909DD7}">
  <dimension ref="A1:G93"/>
  <sheetViews>
    <sheetView zoomScale="145" zoomScaleNormal="145" workbookViewId="0">
      <selection activeCell="B2" sqref="B2"/>
    </sheetView>
  </sheetViews>
  <sheetFormatPr defaultColWidth="9.140625" defaultRowHeight="15"/>
  <cols>
    <col min="1" max="1" width="1.7109375" style="20" customWidth="1"/>
    <col min="2" max="2" width="12.140625" style="20" bestFit="1" customWidth="1"/>
    <col min="3" max="3" width="11" style="20" bestFit="1" customWidth="1"/>
    <col min="4" max="4" width="20.28515625" style="20" customWidth="1"/>
    <col min="5" max="5" width="22.42578125" style="20" bestFit="1" customWidth="1"/>
    <col min="6" max="6" width="69.7109375" style="20" bestFit="1" customWidth="1"/>
    <col min="7" max="7" width="1.7109375" style="20" customWidth="1"/>
    <col min="8" max="16384" width="9.140625" style="20"/>
  </cols>
  <sheetData>
    <row r="1" spans="1:7" ht="15.75">
      <c r="A1" s="177"/>
      <c r="B1" s="177"/>
      <c r="C1" s="177"/>
      <c r="D1" s="177"/>
      <c r="E1" s="177"/>
      <c r="F1" s="177"/>
      <c r="G1" s="177"/>
    </row>
    <row r="2" spans="1:7" ht="15.75">
      <c r="A2" s="177"/>
      <c r="B2" s="199" t="s">
        <v>331</v>
      </c>
      <c r="C2" s="198" t="s">
        <v>10</v>
      </c>
      <c r="D2" s="177"/>
      <c r="E2" s="177"/>
      <c r="F2" s="177"/>
      <c r="G2" s="177"/>
    </row>
    <row r="3" spans="1:7" ht="15.75" customHeight="1">
      <c r="A3" s="180"/>
      <c r="B3" s="183" t="s">
        <v>332</v>
      </c>
      <c r="C3" s="182"/>
      <c r="D3" s="182"/>
      <c r="E3" s="182"/>
      <c r="F3" s="182"/>
      <c r="G3" s="180"/>
    </row>
    <row r="4" spans="1:7" ht="30">
      <c r="A4" s="180"/>
      <c r="B4" s="200" t="s">
        <v>333</v>
      </c>
      <c r="C4" s="201" t="s">
        <v>334</v>
      </c>
      <c r="D4" s="201" t="s">
        <v>63</v>
      </c>
      <c r="E4" s="201" t="s">
        <v>335</v>
      </c>
      <c r="F4" s="202" t="s">
        <v>129</v>
      </c>
      <c r="G4" s="177"/>
    </row>
    <row r="5" spans="1:7" ht="15.75">
      <c r="A5" s="177"/>
      <c r="B5" s="184" t="s">
        <v>76</v>
      </c>
      <c r="C5" s="176">
        <f ca="1">OFFSET('Annual BHSA Revenues'!$C$22,,MATCH($C$2,'Annual BHSA Revenues'!$D$20:$P$20,0))</f>
        <v>0.35</v>
      </c>
      <c r="D5" s="185">
        <f ca="1">OFFSET('Annual BHSA Revenues'!$F$30,,MATCH($C$2,'Annual BHSA Revenues'!$D$20:$P$20,0))*C5</f>
        <v>14181364.890000001</v>
      </c>
      <c r="E5" s="186">
        <f ca="1">D5-OFFSET('Annual BHSA Revenues'!$F$22,,MATCH($C$2,'Annual BHSA Revenues'!$D$20:$P$20,0))</f>
        <v>0</v>
      </c>
      <c r="F5" s="187"/>
      <c r="G5" s="177"/>
    </row>
    <row r="6" spans="1:7" ht="15.75">
      <c r="A6" s="177"/>
      <c r="B6" s="188" t="s">
        <v>79</v>
      </c>
      <c r="C6" s="189">
        <f ca="1">OFFSET('Annual BHSA Revenues'!$C$23,,MATCH($C$2,'Annual BHSA Revenues'!$D$20:$P$20,0))</f>
        <v>0.35</v>
      </c>
      <c r="D6" s="190">
        <f ca="1">OFFSET('Annual BHSA Revenues'!$F$30,,MATCH($C$2,'Annual BHSA Revenues'!$D$20:$P$20,0))*C6</f>
        <v>14181364.890000001</v>
      </c>
      <c r="E6" s="191">
        <f ca="1">D6-OFFSET('Annual BHSA Revenues'!$F$23,,MATCH($C$2,'Annual BHSA Revenues'!$D$20:$P$20,0))</f>
        <v>0</v>
      </c>
      <c r="F6" s="192"/>
      <c r="G6" s="177"/>
    </row>
    <row r="7" spans="1:7" ht="15.75">
      <c r="A7" s="177"/>
      <c r="B7" s="193" t="s">
        <v>84</v>
      </c>
      <c r="C7" s="194">
        <f ca="1">OFFSET('Annual BHSA Revenues'!$C$27,,MATCH($C$2,'Annual BHSA Revenues'!$D$20:$P$20,0))</f>
        <v>0.3</v>
      </c>
      <c r="D7" s="195">
        <f ca="1">OFFSET('Annual BHSA Revenues'!$F$30,,MATCH($C$2,'Annual BHSA Revenues'!$D$20:$P$20,0))*C7</f>
        <v>12155455.620000001</v>
      </c>
      <c r="E7" s="196">
        <f ca="1">D7-OFFSET('Annual BHSA Revenues'!$F$27,,MATCH($C$2,'Annual BHSA Revenues'!$D$20:$P$20,0))</f>
        <v>0</v>
      </c>
      <c r="F7" s="197"/>
      <c r="G7" s="177"/>
    </row>
    <row r="8" spans="1:7" ht="15.75">
      <c r="A8" s="177"/>
      <c r="B8" s="177"/>
      <c r="C8" s="178"/>
      <c r="D8" s="178"/>
      <c r="E8" s="181"/>
      <c r="F8" s="177"/>
      <c r="G8" s="177"/>
    </row>
    <row r="9" spans="1:7" ht="15.75">
      <c r="A9" s="177"/>
      <c r="B9" s="203" t="s">
        <v>336</v>
      </c>
      <c r="C9" s="204" t="s">
        <v>337</v>
      </c>
      <c r="D9" s="204" t="s">
        <v>81</v>
      </c>
      <c r="E9" s="205" t="s">
        <v>338</v>
      </c>
      <c r="F9" s="202" t="s">
        <v>129</v>
      </c>
      <c r="G9" s="177"/>
    </row>
    <row r="10" spans="1:7" ht="15.75">
      <c r="A10" s="177"/>
      <c r="B10" s="184" t="s">
        <v>76</v>
      </c>
      <c r="C10" s="254">
        <v>0.36</v>
      </c>
      <c r="D10" s="185">
        <f ca="1">OFFSET('Annual BHSA Revenues'!$F$30,,MATCH($C$2,'Annual BHSA Revenues'!$D$20:$P$20,0))*C10</f>
        <v>14586546.744000001</v>
      </c>
      <c r="E10" s="186">
        <f ca="1">D10-OFFSET('Annual BHSA Revenues'!$F$22,,MATCH($C$2,'Annual BHSA Revenues'!$D$20:$P$20,0))</f>
        <v>405181.85400000028</v>
      </c>
      <c r="F10" s="187"/>
      <c r="G10" s="177"/>
    </row>
    <row r="11" spans="1:7" ht="15.75">
      <c r="A11" s="177"/>
      <c r="B11" s="188" t="s">
        <v>79</v>
      </c>
      <c r="C11" s="253">
        <v>0.35</v>
      </c>
      <c r="D11" s="190">
        <f ca="1">OFFSET('Annual BHSA Revenues'!$F$30,,MATCH($C$2,'Annual BHSA Revenues'!$D$20:$P$20,0))*C11</f>
        <v>14181364.890000001</v>
      </c>
      <c r="E11" s="191">
        <f ca="1">D11-OFFSET('Annual BHSA Revenues'!$F$23,,MATCH($C$2,'Annual BHSA Revenues'!$D$20:$P$20,0))</f>
        <v>0</v>
      </c>
      <c r="F11" s="192"/>
      <c r="G11" s="177"/>
    </row>
    <row r="12" spans="1:7" ht="15.75">
      <c r="A12" s="177"/>
      <c r="B12" s="193" t="s">
        <v>84</v>
      </c>
      <c r="C12" s="254">
        <v>0.28999999999999998</v>
      </c>
      <c r="D12" s="195">
        <f ca="1">OFFSET('Annual BHSA Revenues'!$F$30,,MATCH($C$2,'Annual BHSA Revenues'!$D$20:$P$20,0))*C12</f>
        <v>11750273.766000001</v>
      </c>
      <c r="E12" s="196">
        <f ca="1">D12-OFFSET('Annual BHSA Revenues'!$F$27,,MATCH($C$2,'Annual BHSA Revenues'!$D$20:$P$20,0))</f>
        <v>-405181.85400000028</v>
      </c>
      <c r="F12" s="197"/>
      <c r="G12" s="177"/>
    </row>
    <row r="13" spans="1:7" ht="15.75">
      <c r="A13" s="177"/>
      <c r="B13" s="177"/>
      <c r="C13" s="178"/>
      <c r="D13" s="178"/>
      <c r="E13" s="181"/>
      <c r="F13" s="177"/>
      <c r="G13" s="177"/>
    </row>
    <row r="14" spans="1:7" ht="15.75">
      <c r="A14" s="177"/>
      <c r="B14" s="203" t="s">
        <v>339</v>
      </c>
      <c r="C14" s="204" t="s">
        <v>337</v>
      </c>
      <c r="D14" s="204" t="s">
        <v>81</v>
      </c>
      <c r="E14" s="205" t="s">
        <v>338</v>
      </c>
      <c r="F14" s="202" t="s">
        <v>129</v>
      </c>
      <c r="G14" s="177"/>
    </row>
    <row r="15" spans="1:7" ht="15.75">
      <c r="A15" s="177"/>
      <c r="B15" s="184" t="s">
        <v>76</v>
      </c>
      <c r="C15" s="254">
        <v>0.36</v>
      </c>
      <c r="D15" s="185">
        <f ca="1">OFFSET('Annual BHSA Revenues'!$F$30,,MATCH($C$2,'Annual BHSA Revenues'!$D$20:$P$20,0))*C15</f>
        <v>14586546.744000001</v>
      </c>
      <c r="E15" s="186">
        <f ca="1">D15-OFFSET('Annual BHSA Revenues'!$F$22,,MATCH($C$2,'Annual BHSA Revenues'!$D$20:$P$20,0))</f>
        <v>405181.85400000028</v>
      </c>
      <c r="F15" s="187"/>
      <c r="G15" s="177"/>
    </row>
    <row r="16" spans="1:7" ht="15.75">
      <c r="A16" s="177"/>
      <c r="B16" s="188" t="s">
        <v>79</v>
      </c>
      <c r="C16" s="253">
        <v>0.37</v>
      </c>
      <c r="D16" s="190">
        <f ca="1">OFFSET('Annual BHSA Revenues'!$F$30,,MATCH($C$2,'Annual BHSA Revenues'!$D$20:$P$20,0))*C16</f>
        <v>14991728.598000001</v>
      </c>
      <c r="E16" s="191">
        <f ca="1">D16-OFFSET('Annual BHSA Revenues'!$F$23,,MATCH($C$2,'Annual BHSA Revenues'!$D$20:$P$20,0))</f>
        <v>810363.70800000057</v>
      </c>
      <c r="F16" s="192"/>
      <c r="G16" s="177"/>
    </row>
    <row r="17" spans="1:7" ht="15.75">
      <c r="A17" s="177"/>
      <c r="B17" s="193" t="s">
        <v>84</v>
      </c>
      <c r="C17" s="254">
        <v>0.27</v>
      </c>
      <c r="D17" s="195">
        <f ca="1">OFFSET('Annual BHSA Revenues'!$F$30,,MATCH($C$2,'Annual BHSA Revenues'!$D$20:$P$20,0))*C17</f>
        <v>10939910.058000002</v>
      </c>
      <c r="E17" s="196">
        <f ca="1">D17-OFFSET('Annual BHSA Revenues'!$F$27,,MATCH($C$2,'Annual BHSA Revenues'!$D$20:$P$20,0))</f>
        <v>-1215545.561999999</v>
      </c>
      <c r="F17" s="197"/>
      <c r="G17" s="177"/>
    </row>
    <row r="18" spans="1:7" ht="15.75">
      <c r="A18" s="177"/>
      <c r="B18" s="177"/>
      <c r="C18" s="177"/>
      <c r="D18" s="177"/>
      <c r="E18" s="177"/>
      <c r="F18" s="177"/>
      <c r="G18" s="177"/>
    </row>
    <row r="19" spans="1:7" ht="15.75">
      <c r="A19" s="177"/>
      <c r="B19" s="177"/>
      <c r="C19" s="177"/>
      <c r="D19" s="177"/>
      <c r="E19" s="177"/>
      <c r="F19" s="177"/>
      <c r="G19" s="177"/>
    </row>
    <row r="20" spans="1:7" ht="15.75">
      <c r="A20" s="177"/>
      <c r="B20" s="177"/>
      <c r="C20" s="177"/>
      <c r="D20" s="177"/>
      <c r="E20" s="177"/>
      <c r="F20" s="177"/>
      <c r="G20" s="177"/>
    </row>
    <row r="21" spans="1:7" ht="15.75">
      <c r="A21" s="177"/>
      <c r="B21" s="177"/>
      <c r="C21" s="177"/>
      <c r="D21" s="177"/>
      <c r="E21" s="177"/>
      <c r="F21" s="177"/>
      <c r="G21" s="177"/>
    </row>
    <row r="22" spans="1:7" ht="15.75">
      <c r="A22" s="177"/>
      <c r="B22" s="177"/>
      <c r="C22" s="177"/>
      <c r="D22" s="177"/>
      <c r="E22" s="177"/>
      <c r="F22" s="177"/>
      <c r="G22" s="177"/>
    </row>
    <row r="23" spans="1:7" ht="15.75">
      <c r="A23" s="177"/>
      <c r="B23" s="177"/>
      <c r="C23" s="177"/>
      <c r="D23" s="177"/>
      <c r="E23" s="177"/>
      <c r="F23" s="177"/>
      <c r="G23" s="177"/>
    </row>
    <row r="24" spans="1:7" ht="15.75">
      <c r="A24" s="177"/>
      <c r="B24" s="177"/>
      <c r="C24" s="177"/>
      <c r="D24" s="177"/>
      <c r="E24" s="177"/>
      <c r="F24" s="177"/>
      <c r="G24" s="177"/>
    </row>
    <row r="25" spans="1:7" ht="15.75">
      <c r="A25" s="177"/>
      <c r="B25" s="177"/>
      <c r="C25" s="177"/>
      <c r="D25" s="177"/>
      <c r="E25" s="177"/>
      <c r="F25" s="177"/>
      <c r="G25" s="177"/>
    </row>
    <row r="26" spans="1:7" ht="15.75">
      <c r="A26" s="177"/>
      <c r="B26" s="177"/>
      <c r="C26" s="177"/>
      <c r="D26" s="177"/>
      <c r="E26" s="177"/>
      <c r="F26" s="177"/>
      <c r="G26" s="177"/>
    </row>
    <row r="27" spans="1:7" ht="15.75">
      <c r="A27" s="177"/>
      <c r="B27" s="177"/>
      <c r="C27" s="177"/>
      <c r="D27" s="177"/>
      <c r="E27" s="177"/>
      <c r="F27" s="177"/>
      <c r="G27" s="177"/>
    </row>
    <row r="28" spans="1:7" ht="15.75">
      <c r="A28" s="177"/>
      <c r="B28" s="177"/>
      <c r="C28" s="177"/>
      <c r="D28" s="177"/>
      <c r="E28" s="177"/>
      <c r="F28" s="177"/>
      <c r="G28" s="177"/>
    </row>
    <row r="29" spans="1:7" ht="15.75">
      <c r="A29" s="177"/>
      <c r="B29" s="177"/>
      <c r="C29" s="177"/>
      <c r="D29" s="177"/>
      <c r="E29" s="177"/>
      <c r="F29" s="177"/>
      <c r="G29" s="177"/>
    </row>
    <row r="30" spans="1:7" ht="15.75">
      <c r="A30" s="177"/>
      <c r="B30" s="177"/>
      <c r="C30" s="177"/>
      <c r="D30" s="177"/>
      <c r="E30" s="177"/>
      <c r="F30" s="177"/>
      <c r="G30" s="177"/>
    </row>
    <row r="31" spans="1:7" ht="15.75">
      <c r="A31" s="177"/>
      <c r="B31" s="177"/>
      <c r="C31" s="177"/>
      <c r="D31" s="177"/>
      <c r="E31" s="177"/>
      <c r="F31" s="177"/>
      <c r="G31" s="177"/>
    </row>
    <row r="32" spans="1:7" ht="15.75">
      <c r="A32" s="177"/>
      <c r="B32" s="177"/>
      <c r="C32" s="177"/>
      <c r="D32" s="177"/>
      <c r="E32" s="177"/>
      <c r="F32" s="177"/>
      <c r="G32" s="177"/>
    </row>
    <row r="33" spans="1:7" ht="15.75">
      <c r="A33" s="177"/>
      <c r="B33" s="177"/>
      <c r="C33" s="177"/>
      <c r="D33" s="177"/>
      <c r="E33" s="177"/>
      <c r="F33" s="177"/>
      <c r="G33" s="177"/>
    </row>
    <row r="34" spans="1:7" ht="15.75">
      <c r="A34" s="177"/>
      <c r="B34" s="177"/>
      <c r="C34" s="177"/>
      <c r="D34" s="177"/>
      <c r="E34" s="177"/>
      <c r="F34" s="177"/>
      <c r="G34" s="177"/>
    </row>
    <row r="35" spans="1:7" ht="15.75">
      <c r="A35" s="177"/>
      <c r="B35" s="177"/>
      <c r="C35" s="177"/>
      <c r="D35" s="177"/>
      <c r="E35" s="177"/>
      <c r="F35" s="177"/>
      <c r="G35" s="177"/>
    </row>
    <row r="36" spans="1:7" ht="15.75">
      <c r="A36" s="177"/>
      <c r="B36" s="177"/>
      <c r="C36" s="177"/>
      <c r="D36" s="177"/>
      <c r="E36" s="177"/>
      <c r="F36" s="177"/>
      <c r="G36" s="177"/>
    </row>
    <row r="37" spans="1:7" ht="15.75">
      <c r="A37" s="177"/>
      <c r="B37" s="177"/>
      <c r="C37" s="177"/>
      <c r="D37" s="177"/>
      <c r="E37" s="177"/>
      <c r="F37" s="177"/>
      <c r="G37" s="177"/>
    </row>
    <row r="38" spans="1:7" ht="15.75">
      <c r="A38" s="177"/>
      <c r="B38" s="177"/>
      <c r="C38" s="177"/>
      <c r="D38" s="177"/>
      <c r="E38" s="177"/>
      <c r="F38" s="177"/>
      <c r="G38" s="177"/>
    </row>
    <row r="39" spans="1:7" ht="15.75">
      <c r="A39" s="177"/>
      <c r="B39" s="177"/>
      <c r="C39" s="177"/>
      <c r="D39" s="177"/>
      <c r="E39" s="177"/>
      <c r="F39" s="177"/>
      <c r="G39" s="177"/>
    </row>
    <row r="40" spans="1:7" ht="15.75">
      <c r="A40" s="177"/>
      <c r="B40" s="177"/>
      <c r="C40" s="177"/>
      <c r="D40" s="177"/>
      <c r="E40" s="177"/>
      <c r="F40" s="177"/>
      <c r="G40" s="177"/>
    </row>
    <row r="41" spans="1:7" ht="15.75">
      <c r="A41" s="177"/>
      <c r="B41" s="177"/>
      <c r="C41" s="177"/>
      <c r="D41" s="177"/>
      <c r="E41" s="177"/>
      <c r="F41" s="177"/>
      <c r="G41" s="177"/>
    </row>
    <row r="42" spans="1:7" ht="15.75">
      <c r="A42" s="177"/>
      <c r="B42" s="177"/>
      <c r="C42" s="177"/>
      <c r="D42" s="177"/>
      <c r="E42" s="177"/>
      <c r="F42" s="177"/>
      <c r="G42" s="177"/>
    </row>
    <row r="43" spans="1:7" ht="15.75">
      <c r="A43" s="177"/>
      <c r="B43" s="177"/>
      <c r="C43" s="177"/>
      <c r="D43" s="177"/>
      <c r="E43" s="177"/>
      <c r="F43" s="177"/>
      <c r="G43" s="177"/>
    </row>
    <row r="44" spans="1:7" ht="15.75">
      <c r="A44" s="177"/>
      <c r="B44" s="177"/>
      <c r="C44" s="177"/>
      <c r="D44" s="177"/>
      <c r="E44" s="177"/>
      <c r="F44" s="177"/>
      <c r="G44" s="177"/>
    </row>
    <row r="45" spans="1:7" ht="15.75">
      <c r="A45" s="177"/>
      <c r="B45" s="177"/>
      <c r="C45" s="177"/>
      <c r="D45" s="177"/>
      <c r="E45" s="177"/>
      <c r="F45" s="177"/>
      <c r="G45" s="177"/>
    </row>
    <row r="46" spans="1:7" ht="15.75">
      <c r="A46" s="177"/>
      <c r="B46" s="177"/>
      <c r="C46" s="177"/>
      <c r="D46" s="177"/>
      <c r="E46" s="177"/>
      <c r="F46" s="177"/>
      <c r="G46" s="177"/>
    </row>
    <row r="47" spans="1:7" ht="15.75">
      <c r="A47" s="177"/>
      <c r="B47" s="177"/>
      <c r="C47" s="177"/>
      <c r="D47" s="177"/>
      <c r="E47" s="177"/>
      <c r="F47" s="177"/>
      <c r="G47" s="177"/>
    </row>
    <row r="48" spans="1:7" ht="15.75">
      <c r="A48" s="177"/>
      <c r="B48" s="177"/>
      <c r="C48" s="177"/>
      <c r="D48" s="177"/>
      <c r="E48" s="177"/>
      <c r="F48" s="177"/>
      <c r="G48" s="177"/>
    </row>
    <row r="49" spans="1:7" ht="15.75">
      <c r="A49" s="177"/>
      <c r="B49" s="177"/>
      <c r="C49" s="177"/>
      <c r="D49" s="177"/>
      <c r="E49" s="177"/>
      <c r="F49" s="177"/>
      <c r="G49" s="177"/>
    </row>
    <row r="50" spans="1:7" ht="15.75">
      <c r="A50" s="177"/>
      <c r="B50" s="177"/>
      <c r="C50" s="177"/>
      <c r="D50" s="177"/>
      <c r="E50" s="177"/>
      <c r="F50" s="177"/>
      <c r="G50" s="177"/>
    </row>
    <row r="51" spans="1:7" ht="15.75">
      <c r="A51" s="177"/>
      <c r="B51" s="177"/>
      <c r="C51" s="177"/>
      <c r="D51" s="177"/>
      <c r="E51" s="177"/>
      <c r="F51" s="177"/>
      <c r="G51" s="177"/>
    </row>
    <row r="52" spans="1:7" ht="15.75">
      <c r="A52" s="177"/>
      <c r="B52" s="177"/>
      <c r="C52" s="177"/>
      <c r="D52" s="177"/>
      <c r="E52" s="177"/>
      <c r="F52" s="177"/>
      <c r="G52" s="177"/>
    </row>
    <row r="53" spans="1:7" ht="15.75">
      <c r="A53" s="177"/>
      <c r="B53" s="177"/>
      <c r="C53" s="177"/>
      <c r="D53" s="177"/>
      <c r="E53" s="177"/>
      <c r="F53" s="177"/>
      <c r="G53" s="177"/>
    </row>
    <row r="54" spans="1:7" ht="15.75">
      <c r="A54" s="177"/>
      <c r="B54" s="177"/>
      <c r="C54" s="177"/>
      <c r="D54" s="177"/>
      <c r="E54" s="177"/>
      <c r="F54" s="177"/>
      <c r="G54" s="177"/>
    </row>
    <row r="55" spans="1:7" ht="15.75">
      <c r="A55" s="177"/>
      <c r="B55" s="177"/>
      <c r="C55" s="177"/>
      <c r="D55" s="177"/>
      <c r="E55" s="177"/>
      <c r="F55" s="177"/>
      <c r="G55" s="177"/>
    </row>
    <row r="56" spans="1:7" ht="15.75">
      <c r="A56" s="177"/>
      <c r="B56" s="177"/>
      <c r="C56" s="177"/>
      <c r="D56" s="177"/>
      <c r="E56" s="177"/>
      <c r="F56" s="177"/>
      <c r="G56" s="177"/>
    </row>
    <row r="57" spans="1:7" ht="15.75">
      <c r="A57" s="177"/>
      <c r="B57" s="177"/>
      <c r="C57" s="177"/>
      <c r="D57" s="177"/>
      <c r="E57" s="177"/>
      <c r="F57" s="177"/>
      <c r="G57" s="177"/>
    </row>
    <row r="58" spans="1:7" ht="15.75">
      <c r="A58" s="177"/>
      <c r="B58" s="177"/>
      <c r="C58" s="177"/>
      <c r="D58" s="177"/>
      <c r="E58" s="177"/>
      <c r="F58" s="177"/>
      <c r="G58" s="177"/>
    </row>
    <row r="59" spans="1:7" ht="15.75">
      <c r="A59" s="177"/>
      <c r="B59" s="177"/>
      <c r="C59" s="177"/>
      <c r="D59" s="177"/>
      <c r="E59" s="177"/>
      <c r="F59" s="177"/>
      <c r="G59" s="177"/>
    </row>
    <row r="60" spans="1:7" ht="15.75">
      <c r="A60" s="177"/>
      <c r="B60" s="177"/>
      <c r="C60" s="177"/>
      <c r="D60" s="177"/>
      <c r="E60" s="177"/>
      <c r="F60" s="177"/>
      <c r="G60" s="177"/>
    </row>
    <row r="61" spans="1:7" ht="15.75">
      <c r="A61" s="177"/>
      <c r="B61" s="177"/>
      <c r="C61" s="177"/>
      <c r="D61" s="177"/>
      <c r="E61" s="177"/>
      <c r="F61" s="177"/>
      <c r="G61" s="177"/>
    </row>
    <row r="62" spans="1:7" ht="15.75">
      <c r="A62" s="177"/>
      <c r="B62" s="177"/>
      <c r="C62" s="177"/>
      <c r="D62" s="177"/>
      <c r="E62" s="177"/>
      <c r="F62" s="177"/>
      <c r="G62" s="177"/>
    </row>
    <row r="63" spans="1:7" ht="15.75">
      <c r="A63" s="177"/>
      <c r="B63" s="177"/>
      <c r="C63" s="177"/>
      <c r="D63" s="177"/>
      <c r="E63" s="177"/>
      <c r="F63" s="177"/>
      <c r="G63" s="177"/>
    </row>
    <row r="64" spans="1:7" ht="15.75">
      <c r="A64" s="177"/>
      <c r="B64" s="177"/>
      <c r="C64" s="177"/>
      <c r="D64" s="177"/>
      <c r="E64" s="177"/>
      <c r="F64" s="177"/>
      <c r="G64" s="177"/>
    </row>
    <row r="65" spans="1:7" ht="15.75">
      <c r="A65" s="177"/>
      <c r="B65" s="177"/>
      <c r="C65" s="177"/>
      <c r="D65" s="177"/>
      <c r="E65" s="177"/>
      <c r="F65" s="177"/>
      <c r="G65" s="177"/>
    </row>
    <row r="66" spans="1:7" ht="15.75">
      <c r="A66" s="177"/>
      <c r="B66" s="177"/>
      <c r="C66" s="177"/>
      <c r="D66" s="177"/>
      <c r="E66" s="177"/>
      <c r="F66" s="177"/>
      <c r="G66" s="177"/>
    </row>
    <row r="67" spans="1:7" ht="15.75">
      <c r="A67" s="177"/>
      <c r="B67" s="177"/>
      <c r="C67" s="177"/>
      <c r="D67" s="177"/>
      <c r="E67" s="177"/>
      <c r="F67" s="177"/>
      <c r="G67" s="177"/>
    </row>
    <row r="68" spans="1:7" ht="15.75">
      <c r="A68" s="177"/>
      <c r="B68" s="177"/>
      <c r="C68" s="177"/>
      <c r="D68" s="177"/>
      <c r="E68" s="177"/>
      <c r="F68" s="177"/>
      <c r="G68" s="177"/>
    </row>
    <row r="69" spans="1:7" ht="15.75">
      <c r="A69" s="177"/>
      <c r="B69" s="177"/>
      <c r="C69" s="177"/>
      <c r="D69" s="177"/>
      <c r="E69" s="177"/>
      <c r="F69" s="177"/>
      <c r="G69" s="177"/>
    </row>
    <row r="70" spans="1:7" ht="15.75">
      <c r="A70" s="177"/>
      <c r="B70" s="177"/>
      <c r="C70" s="177"/>
      <c r="D70" s="177"/>
      <c r="E70" s="177"/>
      <c r="F70" s="177"/>
      <c r="G70" s="177"/>
    </row>
    <row r="71" spans="1:7" ht="15.75">
      <c r="A71" s="177"/>
      <c r="B71" s="177"/>
      <c r="C71" s="177"/>
      <c r="D71" s="177"/>
      <c r="E71" s="177"/>
      <c r="F71" s="177"/>
      <c r="G71" s="177"/>
    </row>
    <row r="72" spans="1:7" ht="15.75">
      <c r="A72" s="177"/>
      <c r="B72" s="177"/>
      <c r="C72" s="177"/>
      <c r="D72" s="177"/>
      <c r="E72" s="177"/>
      <c r="F72" s="177"/>
      <c r="G72" s="177"/>
    </row>
    <row r="73" spans="1:7" ht="15.75">
      <c r="A73" s="177"/>
      <c r="B73" s="177"/>
      <c r="C73" s="177"/>
      <c r="D73" s="177"/>
      <c r="E73" s="177"/>
      <c r="F73" s="177"/>
      <c r="G73" s="177"/>
    </row>
    <row r="74" spans="1:7" ht="15.75">
      <c r="A74" s="177"/>
      <c r="B74" s="177"/>
      <c r="C74" s="177"/>
      <c r="D74" s="177"/>
      <c r="E74" s="177"/>
      <c r="F74" s="177"/>
      <c r="G74" s="177"/>
    </row>
    <row r="75" spans="1:7" ht="15.75">
      <c r="A75" s="177"/>
      <c r="B75" s="177"/>
      <c r="C75" s="177"/>
      <c r="D75" s="177"/>
      <c r="E75" s="177"/>
      <c r="F75" s="177"/>
      <c r="G75" s="177"/>
    </row>
    <row r="76" spans="1:7" ht="15.75">
      <c r="A76" s="177"/>
      <c r="B76" s="177"/>
      <c r="C76" s="177"/>
      <c r="D76" s="177"/>
      <c r="E76" s="177"/>
      <c r="F76" s="177"/>
      <c r="G76" s="177"/>
    </row>
    <row r="77" spans="1:7" ht="15.75">
      <c r="A77" s="177"/>
      <c r="B77" s="177"/>
      <c r="C77" s="177"/>
      <c r="D77" s="177"/>
      <c r="E77" s="177"/>
      <c r="F77" s="177"/>
      <c r="G77" s="177"/>
    </row>
    <row r="78" spans="1:7" ht="15.75">
      <c r="A78" s="177"/>
      <c r="B78" s="177"/>
      <c r="C78" s="177"/>
      <c r="D78" s="177"/>
      <c r="E78" s="177"/>
      <c r="F78" s="177"/>
      <c r="G78" s="177"/>
    </row>
    <row r="79" spans="1:7" ht="15.75">
      <c r="A79" s="177"/>
      <c r="B79" s="177"/>
      <c r="C79" s="177"/>
      <c r="D79" s="177"/>
      <c r="E79" s="177"/>
      <c r="F79" s="177"/>
      <c r="G79" s="177"/>
    </row>
    <row r="80" spans="1:7" ht="15.75">
      <c r="A80" s="177"/>
      <c r="B80" s="177"/>
      <c r="C80" s="177"/>
      <c r="D80" s="177"/>
      <c r="E80" s="177"/>
      <c r="F80" s="177"/>
      <c r="G80" s="177"/>
    </row>
    <row r="81" spans="1:7" ht="15.75">
      <c r="A81" s="177"/>
      <c r="B81" s="177"/>
      <c r="C81" s="177"/>
      <c r="D81" s="177"/>
      <c r="E81" s="177"/>
      <c r="F81" s="177"/>
      <c r="G81" s="177"/>
    </row>
    <row r="82" spans="1:7" ht="15.75">
      <c r="A82" s="177"/>
      <c r="B82" s="177"/>
      <c r="C82" s="177"/>
      <c r="D82" s="177"/>
      <c r="E82" s="177"/>
      <c r="F82" s="177"/>
      <c r="G82" s="177"/>
    </row>
    <row r="83" spans="1:7" ht="15.75">
      <c r="A83" s="177"/>
      <c r="B83" s="177"/>
      <c r="C83" s="177"/>
      <c r="D83" s="177"/>
      <c r="E83" s="177"/>
      <c r="F83" s="177"/>
      <c r="G83" s="177"/>
    </row>
    <row r="84" spans="1:7" ht="15.75">
      <c r="A84" s="177"/>
      <c r="B84" s="177"/>
      <c r="C84" s="177"/>
      <c r="D84" s="177"/>
      <c r="E84" s="177"/>
      <c r="F84" s="177"/>
      <c r="G84" s="177"/>
    </row>
    <row r="85" spans="1:7" ht="15.75">
      <c r="A85" s="177"/>
      <c r="B85" s="177"/>
      <c r="C85" s="177"/>
      <c r="D85" s="177"/>
      <c r="E85" s="177"/>
      <c r="F85" s="177"/>
      <c r="G85" s="177"/>
    </row>
    <row r="86" spans="1:7" ht="15.75">
      <c r="A86" s="177"/>
      <c r="B86" s="177"/>
      <c r="C86" s="177"/>
      <c r="D86" s="177"/>
      <c r="E86" s="177"/>
      <c r="F86" s="177"/>
      <c r="G86" s="177"/>
    </row>
    <row r="87" spans="1:7" ht="15.75">
      <c r="A87" s="177"/>
      <c r="B87" s="177"/>
      <c r="C87" s="177"/>
      <c r="D87" s="177"/>
      <c r="E87" s="177"/>
      <c r="F87" s="177"/>
      <c r="G87" s="177"/>
    </row>
    <row r="88" spans="1:7" ht="15.75">
      <c r="A88" s="177"/>
      <c r="B88" s="177"/>
      <c r="C88" s="177"/>
      <c r="D88" s="177"/>
      <c r="E88" s="177"/>
      <c r="F88" s="177"/>
      <c r="G88" s="177"/>
    </row>
    <row r="89" spans="1:7" ht="15.75">
      <c r="A89" s="177"/>
      <c r="B89" s="177"/>
      <c r="C89" s="177"/>
      <c r="D89" s="177"/>
      <c r="E89" s="177"/>
      <c r="F89" s="177"/>
      <c r="G89" s="177"/>
    </row>
    <row r="90" spans="1:7" ht="15.75">
      <c r="A90" s="177"/>
      <c r="B90" s="177"/>
      <c r="C90" s="177"/>
      <c r="D90" s="177"/>
      <c r="E90" s="177"/>
      <c r="F90" s="177"/>
      <c r="G90" s="177"/>
    </row>
    <row r="91" spans="1:7" ht="15.75">
      <c r="A91" s="177"/>
      <c r="B91" s="177"/>
      <c r="C91" s="177"/>
      <c r="D91" s="177"/>
      <c r="E91" s="177"/>
      <c r="F91" s="177"/>
      <c r="G91" s="177"/>
    </row>
    <row r="92" spans="1:7" ht="15.75">
      <c r="A92" s="177"/>
      <c r="B92" s="179"/>
      <c r="C92" s="179"/>
      <c r="D92" s="179"/>
      <c r="E92" s="179"/>
      <c r="F92" s="179"/>
      <c r="G92" s="179"/>
    </row>
    <row r="93" spans="1:7" ht="15.75">
      <c r="A93" s="179"/>
      <c r="B93" s="177"/>
      <c r="C93" s="177"/>
      <c r="D93" s="177"/>
      <c r="E93" s="177"/>
      <c r="F93" s="177"/>
      <c r="G93" s="177"/>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E9CB318-5957-426B-AE84-CE0297AF0259}">
          <x14:formula1>
            <xm:f>'Annual BHSA Revenues'!$B$10:$B$12</xm:f>
          </x14:formula1>
          <xm:sqref>C2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59CDF266B426C42AD254D6E791B3E05" ma:contentTypeVersion="13" ma:contentTypeDescription="Create a new document." ma:contentTypeScope="" ma:versionID="8b28ea7efccc3b4c6c13e46aadb689d4">
  <xsd:schema xmlns:xsd="http://www.w3.org/2001/XMLSchema" xmlns:xs="http://www.w3.org/2001/XMLSchema" xmlns:p="http://schemas.microsoft.com/office/2006/metadata/properties" xmlns:ns2="6ea4ec37-0ce8-4fb3-84ea-7aa5b0cb7e5b" xmlns:ns3="e690c43f-217e-4fd1-aa45-92b7f9324dee" targetNamespace="http://schemas.microsoft.com/office/2006/metadata/properties" ma:root="true" ma:fieldsID="a28708b22470d32e8526c784ab6a595f" ns2:_="" ns3:_="">
    <xsd:import namespace="6ea4ec37-0ce8-4fb3-84ea-7aa5b0cb7e5b"/>
    <xsd:import namespace="e690c43f-217e-4fd1-aa45-92b7f9324de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a4ec37-0ce8-4fb3-84ea-7aa5b0cb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5" nillable="true" ma:displayName="Image Tags_0" ma:hidden="true" ma:internalName="lcf76f155ced4ddcb4097134ff3c332f">
      <xsd:simpleType>
        <xsd:restriction base="dms:Note"/>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690c43f-217e-4fd1-aa45-92b7f9324de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f166d09e-f062-4012-b786-b50b7d95bc6b}" ma:internalName="TaxCatchAll" ma:showField="CatchAllData" ma:web="e690c43f-217e-4fd1-aa45-92b7f9324d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ea4ec37-0ce8-4fb3-84ea-7aa5b0cb7e5b" xsi:nil="true"/>
    <TaxCatchAll xmlns="e690c43f-217e-4fd1-aa45-92b7f9324dee" xsi:nil="true"/>
  </documentManagement>
</p:properties>
</file>

<file path=customXml/itemProps1.xml><?xml version="1.0" encoding="utf-8"?>
<ds:datastoreItem xmlns:ds="http://schemas.openxmlformats.org/officeDocument/2006/customXml" ds:itemID="{CBDB9104-B3F2-4F64-833B-3F6AE583C591}"/>
</file>

<file path=customXml/itemProps2.xml><?xml version="1.0" encoding="utf-8"?>
<ds:datastoreItem xmlns:ds="http://schemas.openxmlformats.org/officeDocument/2006/customXml" ds:itemID="{B79FBB71-2A4E-4095-9E97-FC967861ABE0}"/>
</file>

<file path=customXml/itemProps3.xml><?xml version="1.0" encoding="utf-8"?>
<ds:datastoreItem xmlns:ds="http://schemas.openxmlformats.org/officeDocument/2006/customXml" ds:itemID="{868CCCDD-B40B-47AC-B360-75543212078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ryan.caceres@calmhsa.org</dc:creator>
  <cp:keywords/>
  <dc:description/>
  <cp:lastModifiedBy>Claribel Ojeda</cp:lastModifiedBy>
  <cp:revision/>
  <dcterms:created xsi:type="dcterms:W3CDTF">2023-05-31T18:46:35Z</dcterms:created>
  <dcterms:modified xsi:type="dcterms:W3CDTF">2025-11-13T00:39:14Z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0x010100359CDF266B426C42AD254D6E791B3E05</vt:lpwstr>
  </property>
  <property fmtid="{D5CDD505-2E9C-101B-9397-08002B2CF9AE}" pid="3" name="MediaServiceImageTags">
    <vt:lpwstr/>
  </property>
</Properties>
</file>